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O449f+HTxsJvCPwPdLsZXa/F1ZdQNsR2Fos0a1hyR1l8/uDIcwYxjiOCMQkjeZcq84u3/W6M9AYr+EeUZZQSQ==" workbookSaltValue="YXdZWZeYBKQt15XP+dufR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AK31" i="8"/>
  <c r="BD12" i="8"/>
  <c r="V9" i="16"/>
  <c r="AA9" i="16"/>
  <c r="L21" i="2"/>
  <c r="AA11" i="16"/>
  <c r="L20" i="2"/>
  <c r="L18" i="2"/>
  <c r="X19" i="16"/>
  <c r="L17" i="2"/>
  <c r="L16" i="2"/>
  <c r="L29" i="2"/>
  <c r="L22" i="2"/>
  <c r="BI21" i="11"/>
  <c r="BJ17" i="11"/>
  <c r="AO25" i="17"/>
  <c r="BM21" i="11"/>
  <c r="BG17" i="11"/>
  <c r="BI29" i="11"/>
  <c r="S10" i="17"/>
  <c r="AO29" i="17"/>
  <c r="AQ10" i="21"/>
  <c r="BH10" i="11"/>
  <c r="Q18" i="17"/>
  <c r="AZ11" i="11"/>
  <c r="AZ12" i="11"/>
  <c r="AA18" i="16"/>
  <c r="AA29" i="16"/>
  <c r="BV9" i="16"/>
  <c r="BW21" i="20"/>
  <c r="BU13" i="17"/>
  <c r="BW28" i="20"/>
  <c r="S21" i="17"/>
  <c r="BW11" i="20"/>
  <c r="BV16" i="16"/>
  <c r="BW12" i="20"/>
  <c r="BV12" i="16"/>
  <c r="BU21" i="17"/>
  <c r="BU11" i="17"/>
  <c r="BJ28" i="11"/>
  <c r="AZ9" i="11"/>
  <c r="AZ14" i="11" s="1"/>
  <c r="AZ13" i="11"/>
  <c r="BI19" i="11"/>
  <c r="BI25" i="11"/>
  <c r="BG22" i="11"/>
  <c r="Q18" i="20"/>
  <c r="Q23" i="20" s="1"/>
  <c r="V16" i="11"/>
  <c r="Z14" i="17"/>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V13" i="16"/>
  <c r="BV28" i="16"/>
  <c r="BU25" i="17"/>
  <c r="BG21" i="11"/>
  <c r="AP18" i="20"/>
  <c r="AP26" i="21"/>
  <c r="BG19" i="11"/>
  <c r="V20" i="11"/>
  <c r="AP16" i="20"/>
  <c r="BJ16" i="11"/>
  <c r="V9" i="11"/>
  <c r="BM12" i="11"/>
  <c r="V11" i="11"/>
  <c r="BK29" i="11"/>
  <c r="BG20" i="11"/>
  <c r="BF28" i="11"/>
  <c r="BH16" i="16"/>
  <c r="BF13" i="11"/>
  <c r="BH9" i="16"/>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<sst xmlns="http://schemas.openxmlformats.org/spreadsheetml/2006/main" count="2682" uniqueCount="1193">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</sst>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kHRDDVxREl1JqJ6wYccS4nHhyLLPowTq+LHqfjsM7PqQZ30V/m39NYj7Qk0yvoXzBIfkBtIZ6BA3PMY3Iwn0Q==" saltValue="W6QiH9OerwPg2FoanER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20</v>
      </c>
      <c r="F10" s="240">
        <f>IF(ISNUMBER(Datos!K10),Datos!K10," - ")</f>
        <v>21</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-3.2258064516129031E-2</v>
      </c>
      <c r="L10" s="1402">
        <f>IF(ISNUMBER(NºAsuntos!I10/NºAsuntos!G10),(NºAsuntos!I10/NºAsuntos!G10)*11," - ")</f>
        <v>15.714285714285715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5.0500538213132398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20</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955</v>
      </c>
      <c r="D17" s="239">
        <f>IF(ISNUMBER(IF(D_I="SI",Datos!I17,Datos!I17+Datos!AC17)),IF(D_I="SI",Datos!I17,Datos!I17+Datos!AC17)," - ")</f>
        <v>922</v>
      </c>
      <c r="E17" s="240">
        <f>IF(ISNUMBER(IF(D_I="SI",Datos!J17,Datos!J17+Datos!AD17)),IF(D_I="SI",Datos!J17,Datos!J17+Datos!AD17)," - ")</f>
        <v>3494</v>
      </c>
      <c r="F17" s="240">
        <f>IF(ISNUMBER(IF(D_I="SI",Datos!K17,Datos!K17+Datos!AE17)),IF(D_I="SI",Datos!K17,Datos!K17+Datos!AE17)," - ")</f>
        <v>3417</v>
      </c>
      <c r="G17" s="1390" t="str">
        <f>IF(Datos!E17&lt;&gt;"",Datos!E17,Datos!D17)</f>
        <v>04</v>
      </c>
      <c r="H17" s="241">
        <f>IF(ISNUMBER(IF(D_I="SI",Datos!L17,Datos!L17+Datos!AF17)),IF(D_I="SI",Datos!L17,Datos!L17+Datos!AF17)," - ")</f>
        <v>1032</v>
      </c>
      <c r="I17" s="1400" t="str">
        <f>IF(ISNUMBER(Datos!AS17/Datos!BM17),Datos!AS17/Datos!BM17," - ")</f>
        <v xml:space="preserve"> - </v>
      </c>
      <c r="J17" s="1401">
        <f>IF(ISNUMBER(Datos!BY17/Datos!CN17),Datos!BY17/Datos!CN17," - ")</f>
        <v>0</v>
      </c>
      <c r="K17" s="244">
        <f t="shared" si="3"/>
        <v>8.0628272251308905E-2</v>
      </c>
      <c r="L17" s="1402">
        <f>IF(ISNUMBER(NºAsuntos!I17/NºAsuntos!G17),(NºAsuntos!I17/NºAsuntos!G17)*11," - ")</f>
        <v>3.3222124670763828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91</v>
      </c>
      <c r="D18" s="239">
        <f>IF(ISNUMBER(IF(D_I="SI",Datos!I18,Datos!I18+Datos!AC18)),IF(D_I="SI",Datos!I18,Datos!I18+Datos!AC18)," - ")</f>
        <v>91</v>
      </c>
      <c r="E18" s="240">
        <f>IF(ISNUMBER(IF(D_I="SI",Datos!J18,Datos!J18+Datos!AD18)),IF(D_I="SI",Datos!J18,Datos!J18+Datos!AD18)," - ")</f>
        <v>240</v>
      </c>
      <c r="F18" s="240">
        <f>IF(ISNUMBER(IF(D_I="SI",Datos!K18,Datos!K18+Datos!AE18)),IF(D_I="SI",Datos!K18,Datos!K18+Datos!AE18)," - ")</f>
        <v>165</v>
      </c>
      <c r="G18" s="1390" t="str">
        <f>IF(Datos!E18&lt;&gt;"",Datos!E18,Datos!D18)</f>
        <v>37</v>
      </c>
      <c r="H18" s="241">
        <f>IF(ISNUMBER(IF(D_I="SI",Datos!L18,Datos!L18+Datos!AF18)),IF(D_I="SI",Datos!L18,Datos!L18+Datos!AF18)," - ")</f>
        <v>166</v>
      </c>
      <c r="I18" s="1400" t="str">
        <f>IF(ISNUMBER(Datos!AS18/Datos!BM18),Datos!AS18/Datos!BM18," - ")</f>
        <v xml:space="preserve"> - </v>
      </c>
      <c r="J18" s="1401" t="str">
        <f>IF(ISNUMBER((Datos!BY18+Datos!BZ18)/Datos!CN18),(Datos!BY18+Datos!BZ18)/Datos!CN18," - ")</f>
        <v xml:space="preserve"> - </v>
      </c>
      <c r="K18" s="244">
        <f t="shared" si="3"/>
        <v>0.82417582417582413</v>
      </c>
      <c r="L18" s="1402">
        <f>IF(ISNUMBER(NºAsuntos!I18/NºAsuntos!G18),(NºAsuntos!I18/NºAsuntos!G18)*11," - ")</f>
        <v>11.066666666666666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1046</v>
      </c>
      <c r="D23" s="1407">
        <f>SUBTOTAL(9,D16:D22)</f>
        <v>1013</v>
      </c>
      <c r="E23" s="1408">
        <f>SUBTOTAL(9,E16:E22)</f>
        <v>3734</v>
      </c>
      <c r="F23" s="1408">
        <f>SUBTOTAL(9,F16:F22)</f>
        <v>3582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1077</v>
      </c>
      <c r="D31" s="1435">
        <f>SUBTOTAL(9,D9:D30)</f>
        <v>1044</v>
      </c>
      <c r="E31" s="1436">
        <f>SUBTOTAL(9,E9:E30)</f>
        <v>3754</v>
      </c>
      <c r="F31" s="1436">
        <f>SUBTOTAL(9,F9:F30)</f>
        <v>3603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MHwetDtAFr0fpl2i0QE82cmO6CqkPalyRg13A5yi1z6/QkocnpZi/B4mXZTwVH07qJBUVa68NbMTFaMtf97Jg==" saltValue="QHYgamUjgDYbl4f6mQUsn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069sE+i6QwVR8DynvdKRt6T4HHtSbAmOMXGPbsD8J+J6aP0Xdui10of7IezBS756j9ON8NO5mIwoF51zqn2Bw==" saltValue="rThAvnN3MOx6ofNxkOE2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20</v>
      </c>
      <c r="K10" s="194">
        <v>21</v>
      </c>
      <c r="L10" s="194">
        <v>30</v>
      </c>
      <c r="M10" s="194">
        <v>9</v>
      </c>
      <c r="N10" s="194">
        <v>6</v>
      </c>
      <c r="O10" s="194">
        <v>6</v>
      </c>
      <c r="P10" s="194">
        <v>4</v>
      </c>
      <c r="Q10" s="194">
        <v>1</v>
      </c>
      <c r="R10" s="194">
        <v>17</v>
      </c>
      <c r="S10" s="194">
        <v>23</v>
      </c>
      <c r="T10" s="194">
        <v>23</v>
      </c>
      <c r="U10" s="194">
        <v>15</v>
      </c>
      <c r="V10" s="194">
        <v>31</v>
      </c>
      <c r="W10" s="194">
        <v>5</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23</v>
      </c>
      <c r="BA10" s="139">
        <f t="shared" si="0"/>
        <v>15</v>
      </c>
      <c r="BB10" s="139">
        <f t="shared" si="0"/>
        <v>31</v>
      </c>
      <c r="BC10" s="135">
        <f t="shared" si="0"/>
        <v>5</v>
      </c>
      <c r="BD10" s="136">
        <f>IF(ISNUMBER(BA10/AZ10),BA10/AZ10," - ")</f>
        <v>0.65217391304347827</v>
      </c>
      <c r="BE10" s="137">
        <f>IF(ISNUMBER(BB10/BA10),BB10/BA10, " - ")</f>
        <v>2.0666666666666669</v>
      </c>
      <c r="BF10" s="137">
        <f>IF(ISNUMBER(BC10/BA10),BC10/BA10, " - ")</f>
        <v>0.33333333333333331</v>
      </c>
      <c r="BG10" s="209">
        <f>IF(ISNUMBER((AY10+AZ10)/BA10),(AY10+AZ10)/BA10," - ")</f>
        <v>3.0666666666666669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1982</v>
      </c>
      <c r="J12" s="196">
        <v>2657</v>
      </c>
      <c r="K12" s="196">
        <v>3020</v>
      </c>
      <c r="L12" s="196">
        <v>1678</v>
      </c>
      <c r="M12" s="196">
        <v>704</v>
      </c>
      <c r="N12" s="196">
        <v>1956</v>
      </c>
      <c r="O12" s="194">
        <v>1442</v>
      </c>
      <c r="P12" s="196">
        <v>616</v>
      </c>
      <c r="Q12" s="196">
        <v>909</v>
      </c>
      <c r="R12" s="196">
        <v>2131</v>
      </c>
      <c r="S12" s="196">
        <v>2203</v>
      </c>
      <c r="T12" s="196">
        <v>2362</v>
      </c>
      <c r="U12" s="196">
        <v>2672</v>
      </c>
      <c r="V12" s="196">
        <v>1982</v>
      </c>
      <c r="W12" s="196">
        <v>614</v>
      </c>
      <c r="X12" s="202">
        <v>1878</v>
      </c>
      <c r="Y12" s="204">
        <v>45</v>
      </c>
      <c r="Z12" s="194">
        <v>679</v>
      </c>
      <c r="AA12" s="194">
        <v>696</v>
      </c>
      <c r="AB12" s="194">
        <v>28</v>
      </c>
      <c r="AC12" s="196">
        <v>0</v>
      </c>
      <c r="AD12" s="196">
        <v>0</v>
      </c>
      <c r="AE12" s="196">
        <v>0</v>
      </c>
      <c r="AF12" s="202">
        <v>0</v>
      </c>
      <c r="AG12" s="215">
        <v>60</v>
      </c>
      <c r="AH12" s="196">
        <v>718</v>
      </c>
      <c r="AI12" s="196">
        <v>732</v>
      </c>
      <c r="AJ12" s="216">
        <v>45</v>
      </c>
      <c r="AK12" s="195">
        <v>0</v>
      </c>
      <c r="AL12" s="196">
        <v>0</v>
      </c>
      <c r="AM12" s="196">
        <v>0</v>
      </c>
      <c r="AN12" s="202">
        <v>0</v>
      </c>
      <c r="AO12" s="283">
        <v>3</v>
      </c>
      <c r="AP12" s="168">
        <v>3</v>
      </c>
      <c r="AQ12" s="168">
        <v>3</v>
      </c>
      <c r="AR12" s="167">
        <v>3</v>
      </c>
      <c r="AS12" s="381" t="s">
        <v>1075</v>
      </c>
      <c r="AT12" s="216"/>
      <c r="AU12" s="215"/>
      <c r="AV12" s="216"/>
      <c r="AW12" s="215"/>
      <c r="AX12" s="216"/>
      <c r="AY12" s="136">
        <f t="shared" si="1"/>
        <v>2263</v>
      </c>
      <c r="AZ12" s="137">
        <f t="shared" si="1"/>
        <v>3080</v>
      </c>
      <c r="BA12" s="137">
        <f t="shared" si="1"/>
        <v>3404</v>
      </c>
      <c r="BB12" s="137">
        <f t="shared" si="1"/>
        <v>2027</v>
      </c>
      <c r="BC12" s="135">
        <f>IF(ISNUMBER(X12),X12," - ")</f>
        <v>1878</v>
      </c>
      <c r="BD12" s="136">
        <f t="shared" si="2"/>
        <v>1.1051948051948053</v>
      </c>
      <c r="BE12" s="137">
        <f t="shared" si="3"/>
        <v>0.59547591069330197</v>
      </c>
      <c r="BF12" s="137">
        <f t="shared" si="4"/>
        <v>0.5517038777908343</v>
      </c>
      <c r="BG12" s="209">
        <f t="shared" si="5"/>
        <v>1.5696239717978848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2013</v>
      </c>
      <c r="J14" s="197">
        <f t="shared" si="7"/>
        <v>2677</v>
      </c>
      <c r="K14" s="197">
        <f t="shared" si="7"/>
        <v>3041</v>
      </c>
      <c r="L14" s="197">
        <f t="shared" si="7"/>
        <v>1708</v>
      </c>
      <c r="M14" s="197">
        <f t="shared" si="7"/>
        <v>713</v>
      </c>
      <c r="N14" s="197">
        <f t="shared" si="7"/>
        <v>1962</v>
      </c>
      <c r="O14" s="197">
        <f t="shared" si="7"/>
        <v>1448</v>
      </c>
      <c r="P14" s="197">
        <f t="shared" si="7"/>
        <v>620</v>
      </c>
      <c r="Q14" s="197">
        <f t="shared" si="7"/>
        <v>910</v>
      </c>
      <c r="R14" s="197">
        <f t="shared" si="7"/>
        <v>2148</v>
      </c>
      <c r="S14" s="197">
        <f t="shared" si="7"/>
        <v>2226</v>
      </c>
      <c r="T14" s="197">
        <f t="shared" si="7"/>
        <v>2385</v>
      </c>
      <c r="U14" s="197">
        <f t="shared" si="7"/>
        <v>2687</v>
      </c>
      <c r="V14" s="197">
        <f t="shared" si="7"/>
        <v>2013</v>
      </c>
      <c r="W14" s="197">
        <f t="shared" si="7"/>
        <v>619</v>
      </c>
      <c r="X14" s="197">
        <f t="shared" si="7"/>
        <v>1885</v>
      </c>
      <c r="Y14" s="197">
        <f t="shared" si="7"/>
        <v>45</v>
      </c>
      <c r="Z14" s="197">
        <f t="shared" si="7"/>
        <v>679</v>
      </c>
      <c r="AA14" s="197">
        <f t="shared" si="7"/>
        <v>696</v>
      </c>
      <c r="AB14" s="197">
        <f t="shared" si="7"/>
        <v>28</v>
      </c>
      <c r="AC14" s="197">
        <f t="shared" si="7"/>
        <v>0</v>
      </c>
      <c r="AD14" s="197">
        <f t="shared" si="7"/>
        <v>0</v>
      </c>
      <c r="AE14" s="197">
        <f t="shared" si="7"/>
        <v>0</v>
      </c>
      <c r="AF14" s="197">
        <f>SUBTOTAL(9,AF9:AF13)</f>
        <v>0</v>
      </c>
      <c r="AG14" s="197">
        <f t="shared" ref="AG14:AT14" si="8">SUBTOTAL(9,AG8:AG13)</f>
        <v>60</v>
      </c>
      <c r="AH14" s="197">
        <f t="shared" si="8"/>
        <v>718</v>
      </c>
      <c r="AI14" s="197">
        <f t="shared" si="8"/>
        <v>732</v>
      </c>
      <c r="AJ14" s="197">
        <f t="shared" si="8"/>
        <v>45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2286</v>
      </c>
      <c r="AZ14" s="197">
        <f>SUBTOTAL(9,AZ8:AZ13)</f>
        <v>3103</v>
      </c>
      <c r="BA14" s="197">
        <f>SUBTOTAL(9,BA8:BA13)</f>
        <v>3419</v>
      </c>
      <c r="BB14" s="197">
        <f>SUBTOTAL(9,BB8:BB13)</f>
        <v>2058</v>
      </c>
      <c r="BC14" s="197">
        <f>SUBTOTAL(9,BC8:BC13)</f>
        <v>1883</v>
      </c>
      <c r="BD14" s="219">
        <f>IF(ISNUMBER(BA14/AZ14),BA14/AZ14," - ")</f>
        <v>1.1018369320012891</v>
      </c>
      <c r="BE14" s="220">
        <f>IF(ISNUMBER(BB14/BA14),BB14/BA14, " - ")</f>
        <v>0.60193038900263229</v>
      </c>
      <c r="BF14" s="220">
        <f>IF(ISNUMBER(BC14/BA14),BC14/BA14, " - ")</f>
        <v>0.55074583211465344</v>
      </c>
      <c r="BG14" s="221">
        <f>IF(ISNUMBER((AY14+AZ14)/BA14),(AY14+AZ14)/BA14," - ")</f>
        <v>1.5761918689675343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922</v>
      </c>
      <c r="J17" s="196">
        <v>3494</v>
      </c>
      <c r="K17" s="196">
        <v>3417</v>
      </c>
      <c r="L17" s="196">
        <v>1032</v>
      </c>
      <c r="M17" s="196">
        <v>417</v>
      </c>
      <c r="N17" s="196">
        <v>2501</v>
      </c>
      <c r="O17" s="194">
        <v>63</v>
      </c>
      <c r="P17" s="196">
        <v>132</v>
      </c>
      <c r="Q17" s="196">
        <v>133</v>
      </c>
      <c r="R17" s="196">
        <v>129</v>
      </c>
      <c r="S17" s="196">
        <v>1034</v>
      </c>
      <c r="T17" s="196">
        <v>3498</v>
      </c>
      <c r="U17" s="196">
        <v>3731</v>
      </c>
      <c r="V17" s="196">
        <v>922</v>
      </c>
      <c r="W17" s="196">
        <v>379</v>
      </c>
      <c r="X17" s="202">
        <v>2664</v>
      </c>
      <c r="Y17" s="215">
        <v>0</v>
      </c>
      <c r="Z17" s="196">
        <v>0</v>
      </c>
      <c r="AA17" s="196">
        <v>0</v>
      </c>
      <c r="AB17" s="196">
        <v>0</v>
      </c>
      <c r="AC17" s="196">
        <v>0</v>
      </c>
      <c r="AD17" s="196">
        <v>3</v>
      </c>
      <c r="AE17" s="196">
        <v>3</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1034</v>
      </c>
      <c r="AZ17" s="137">
        <f t="shared" si="10"/>
        <v>3498</v>
      </c>
      <c r="BA17" s="137">
        <f t="shared" si="10"/>
        <v>3731</v>
      </c>
      <c r="BB17" s="137">
        <f t="shared" si="10"/>
        <v>922</v>
      </c>
      <c r="BC17" s="135">
        <f>IF(ISNUMBER(W17),W17," - ")</f>
        <v>379</v>
      </c>
      <c r="BD17" s="136">
        <f t="shared" ref="BD17:BD22" si="12">IF(ISNUMBER(BA17/AZ17),BA17/AZ17," - ")</f>
        <v>1.066609491137793</v>
      </c>
      <c r="BE17" s="137">
        <f t="shared" ref="BE17:BE22" si="13">IF(ISNUMBER(BB17/BA17),BB17/BA17, " - ")</f>
        <v>0.24711873492361297</v>
      </c>
      <c r="BF17" s="137">
        <f t="shared" ref="BF17:BF22" si="14">IF(ISNUMBER(BC17/BA17),BC17/BA17, " - ")</f>
        <v>0.1015813454837845</v>
      </c>
      <c r="BG17" s="209">
        <f t="shared" si="11"/>
        <v>1.2146877512731171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91</v>
      </c>
      <c r="J18" s="196">
        <v>240</v>
      </c>
      <c r="K18" s="196">
        <v>165</v>
      </c>
      <c r="L18" s="196">
        <v>166</v>
      </c>
      <c r="M18" s="196">
        <v>16</v>
      </c>
      <c r="N18" s="196">
        <v>78</v>
      </c>
      <c r="O18" s="196">
        <v>0</v>
      </c>
      <c r="P18" s="196">
        <v>4</v>
      </c>
      <c r="Q18" s="196">
        <v>2</v>
      </c>
      <c r="R18" s="196">
        <v>2</v>
      </c>
      <c r="S18" s="196">
        <v>118</v>
      </c>
      <c r="T18" s="196">
        <v>200</v>
      </c>
      <c r="U18" s="196">
        <v>227</v>
      </c>
      <c r="V18" s="196">
        <v>91</v>
      </c>
      <c r="W18" s="196">
        <v>8</v>
      </c>
      <c r="X18" s="202">
        <v>113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118</v>
      </c>
      <c r="AZ18" s="139">
        <f t="shared" si="15"/>
        <v>200</v>
      </c>
      <c r="BA18" s="139">
        <f t="shared" si="15"/>
        <v>227</v>
      </c>
      <c r="BB18" s="139">
        <f t="shared" si="15"/>
        <v>91</v>
      </c>
      <c r="BC18" s="135">
        <f>IF(ISNUMBER(W18),W18," - ")</f>
        <v>8</v>
      </c>
      <c r="BD18" s="136">
        <f>IF(ISNUMBER(BA18/AZ18),BA18/AZ18," - ")</f>
        <v>1.135</v>
      </c>
      <c r="BE18" s="137">
        <f>IF(ISNUMBER(BB18/BA18),BB18/BA18, " - ")</f>
        <v>0.40088105726872247</v>
      </c>
      <c r="BF18" s="137">
        <f>IF(ISNUMBER(BC18/BA18),BC18/BA18, " - ")</f>
        <v>3.5242290748898682E-2</v>
      </c>
      <c r="BG18" s="209">
        <f>IF(ISNUMBER((AY18+AZ18)/BA18),(AY18+AZ18)/BA18," - ")</f>
        <v>1.4008810572687225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1013</v>
      </c>
      <c r="J23" s="197">
        <f t="shared" si="21"/>
        <v>3734</v>
      </c>
      <c r="K23" s="197">
        <f t="shared" si="21"/>
        <v>3582</v>
      </c>
      <c r="L23" s="197">
        <f t="shared" si="21"/>
        <v>1198</v>
      </c>
      <c r="M23" s="197">
        <f t="shared" si="21"/>
        <v>433</v>
      </c>
      <c r="N23" s="197">
        <f t="shared" si="21"/>
        <v>2579</v>
      </c>
      <c r="O23" s="197">
        <f t="shared" si="21"/>
        <v>63</v>
      </c>
      <c r="P23" s="197">
        <f t="shared" si="21"/>
        <v>136</v>
      </c>
      <c r="Q23" s="197">
        <f t="shared" si="21"/>
        <v>135</v>
      </c>
      <c r="R23" s="197">
        <f t="shared" si="21"/>
        <v>131</v>
      </c>
      <c r="S23" s="197">
        <f t="shared" si="21"/>
        <v>1152</v>
      </c>
      <c r="T23" s="197">
        <f t="shared" si="21"/>
        <v>3698</v>
      </c>
      <c r="U23" s="197">
        <f t="shared" si="21"/>
        <v>3958</v>
      </c>
      <c r="V23" s="197">
        <f t="shared" si="21"/>
        <v>1013</v>
      </c>
      <c r="W23" s="197">
        <f t="shared" si="21"/>
        <v>387</v>
      </c>
      <c r="X23" s="197">
        <f t="shared" si="21"/>
        <v>2777</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1152</v>
      </c>
      <c r="AZ23" s="197">
        <f>SUBTOTAL(9,AZ15:AZ22)</f>
        <v>3698</v>
      </c>
      <c r="BA23" s="197">
        <f>SUBTOTAL(9,BA15:BA22)</f>
        <v>3958</v>
      </c>
      <c r="BB23" s="197">
        <f>SUBTOTAL(9,BB15:BB22)</f>
        <v>1013</v>
      </c>
      <c r="BC23" s="197">
        <f>SUBTOTAL(9,BC15:BC22)</f>
        <v>387</v>
      </c>
      <c r="BD23" s="219">
        <f>IF(ISNUMBER(BA23/AZ23),BA23/AZ23," - ")</f>
        <v>1.0703082747431043</v>
      </c>
      <c r="BE23" s="220">
        <f>IF(ISNUMBER(BB23/BA23),BB23/BA23, " - ")</f>
        <v>0.25593734209196561</v>
      </c>
      <c r="BF23" s="220">
        <f>IF(ISNUMBER(BC23/BA23),BC23/BA23, " - ")</f>
        <v>9.7776654876200103E-2</v>
      </c>
      <c r="BG23" s="221">
        <f>IF(ISNUMBER((AY23+AZ23)/BA23),(AY23+AZ23)/BA23," - ")</f>
        <v>1.2253663466397171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3026</v>
      </c>
      <c r="J31" s="144">
        <f t="shared" si="36"/>
        <v>6411</v>
      </c>
      <c r="K31" s="144">
        <f t="shared" si="36"/>
        <v>6623</v>
      </c>
      <c r="L31" s="144">
        <f t="shared" si="36"/>
        <v>2906</v>
      </c>
      <c r="M31" s="144">
        <f t="shared" si="36"/>
        <v>1146</v>
      </c>
      <c r="N31" s="144">
        <f t="shared" si="36"/>
        <v>4541</v>
      </c>
      <c r="O31" s="144">
        <f t="shared" si="36"/>
        <v>1511</v>
      </c>
      <c r="P31" s="144">
        <f t="shared" si="36"/>
        <v>756</v>
      </c>
      <c r="Q31" s="144">
        <f t="shared" si="36"/>
        <v>1045</v>
      </c>
      <c r="R31" s="144">
        <f t="shared" si="36"/>
        <v>2279</v>
      </c>
      <c r="S31" s="144">
        <f t="shared" si="36"/>
        <v>3378</v>
      </c>
      <c r="T31" s="144">
        <f t="shared" si="36"/>
        <v>6083</v>
      </c>
      <c r="U31" s="144">
        <f t="shared" si="36"/>
        <v>6645</v>
      </c>
      <c r="V31" s="144">
        <f t="shared" si="36"/>
        <v>3026</v>
      </c>
      <c r="W31" s="144">
        <f t="shared" si="36"/>
        <v>1006</v>
      </c>
      <c r="X31" s="144">
        <f t="shared" si="36"/>
        <v>4662</v>
      </c>
      <c r="Y31" s="144">
        <f t="shared" si="36"/>
        <v>45</v>
      </c>
      <c r="Z31" s="144">
        <f t="shared" si="36"/>
        <v>679</v>
      </c>
      <c r="AA31" s="144">
        <f t="shared" si="36"/>
        <v>696</v>
      </c>
      <c r="AB31" s="144">
        <f t="shared" si="36"/>
        <v>28</v>
      </c>
      <c r="AC31" s="144">
        <f t="shared" si="36"/>
        <v>0</v>
      </c>
      <c r="AD31" s="144">
        <f t="shared" si="36"/>
        <v>3</v>
      </c>
      <c r="AE31" s="144">
        <f t="shared" si="36"/>
        <v>3</v>
      </c>
      <c r="AF31" s="144">
        <f t="shared" si="36"/>
        <v>0</v>
      </c>
      <c r="AG31" s="144">
        <f t="shared" si="36"/>
        <v>60</v>
      </c>
      <c r="AH31" s="144">
        <f t="shared" si="36"/>
        <v>718</v>
      </c>
      <c r="AI31" s="144">
        <f t="shared" si="36"/>
        <v>732</v>
      </c>
      <c r="AJ31" s="144">
        <f t="shared" si="36"/>
        <v>45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3438</v>
      </c>
      <c r="AZ31" s="144">
        <f>SUBTOTAL(9,AZ9:AZ30)</f>
        <v>6801</v>
      </c>
      <c r="BA31" s="144">
        <f>SUBTOTAL(9,BA9:BA30)</f>
        <v>7377</v>
      </c>
      <c r="BB31" s="144">
        <f>SUBTOTAL(9,BB9:BB30)</f>
        <v>3071</v>
      </c>
      <c r="BC31" s="145">
        <f>SUBTOTAL(9,BC9:BC30)</f>
        <v>2270</v>
      </c>
      <c r="BD31" s="227">
        <f>IF(ISNUMBER(BA31/AZ31),BA31/AZ31," - ")</f>
        <v>1.0846934274371416</v>
      </c>
      <c r="BE31" s="224">
        <f>IF(ISNUMBER(BB31/BA31),BB31/BA31, " - ")</f>
        <v>0.41629388640368714</v>
      </c>
      <c r="BF31" s="224">
        <f>IF(ISNUMBER(BC31/BA31),BC31/BA31, " - ")</f>
        <v>0.30771316253219466</v>
      </c>
      <c r="BG31" s="145">
        <f>IF(ISNUMBER((AY31+AZ31)/BA31),(AY31+AZ31)/BA31," - ")</f>
        <v>1.3879625864172427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EHl9ulenvaIY4CRjptANkhzDxuInJlYI3aW2fN7BGMK6fNelzPulJKMt/YawfjTwFCq67Fn988iDlCrPmdGw==" saltValue="+1CQkpVELXOyCXs9q4yp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Y5RjHYSOVHSOM34vwtl1j6pHBqcApuMzZpYmneL4KbyBRzuqGE+k1cJinXMh3KolfbunrrDOhNotgg+BiRyg==" saltValue="X6yg3A3j3mcCR5kozVoE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ESPLUGUES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1</v>
      </c>
      <c r="AD10" s="549"/>
      <c r="AE10" s="563"/>
      <c r="AF10" s="551">
        <f>IF(ISNUMBER(Datos!L10),Datos!L10,"-")</f>
        <v>30</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6</v>
      </c>
      <c r="BE10" s="693" t="str">
        <f>IF(ISNUMBER(Datos!BW10),Datos!BW10," - ")</f>
        <v xml:space="preserve"> - </v>
      </c>
      <c r="BF10" s="762" t="str">
        <f>IF(ISNUMBER(Datos!BX10),Datos!BX10," - ")</f>
        <v xml:space="preserve"> - </v>
      </c>
      <c r="BG10" s="763">
        <f>IF(ISNUMBER(Datos!K10/Datos!J10),Datos!K10/Datos!J10," - ")</f>
        <v>1.05</v>
      </c>
      <c r="BH10" s="764">
        <f>IF(ISNUMBER(((Datos!L10/Datos!K10)*11)/factor_trimestre),((Datos!L10/Datos!K10)*11)/factor_trimestre," - ")</f>
        <v>15.714285714285715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0.21428571428571427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679</v>
      </c>
      <c r="O12" s="549"/>
      <c r="P12" s="549"/>
      <c r="Q12" s="547">
        <f>IF(ISNUMBER(Datos!P12),Datos!P12,0)</f>
        <v>616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2131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704</v>
      </c>
      <c r="BD12" s="693">
        <f>IF(ISNUMBER(Datos!N12),Datos!N12," - ")</f>
        <v>1956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1.1139088729016786</v>
      </c>
      <c r="BH12" s="764">
        <f>IF(ISNUMBER(((IF(J_V="SI",Datos!L12/Datos!K12,(Datos!L12+Datos!AB12)/(Datos!K12+Datos!AA12)))*11)/factor_trimestre),((IF(J_V="SI",Datos!L12/Datos!K12,(Datos!L12+Datos!AB12)/(Datos!K12+Datos!AA12)))*11)/factor_trimestre," - ")</f>
        <v>5.0500538213132398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-0.12087458745874588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679</v>
      </c>
      <c r="O14" s="1199">
        <f t="shared" si="1"/>
        <v>0</v>
      </c>
      <c r="P14" s="1199">
        <f t="shared" si="1"/>
        <v>0</v>
      </c>
      <c r="Q14" s="1198">
        <f t="shared" si="1"/>
        <v>620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910</v>
      </c>
      <c r="AD14" s="1198">
        <f t="shared" si="2"/>
        <v>0</v>
      </c>
      <c r="AE14" s="1198">
        <f t="shared" si="2"/>
        <v>0</v>
      </c>
      <c r="AF14" s="1198">
        <f t="shared" si="2"/>
        <v>30</v>
      </c>
      <c r="AG14" s="1198">
        <f t="shared" si="2"/>
        <v>0</v>
      </c>
      <c r="AH14" s="1198">
        <f t="shared" si="2"/>
        <v>28</v>
      </c>
      <c r="AI14" s="1198">
        <f t="shared" si="2"/>
        <v>0</v>
      </c>
      <c r="AJ14" s="1198">
        <f t="shared" si="2"/>
        <v>0</v>
      </c>
      <c r="AK14" s="1198">
        <f t="shared" si="2"/>
        <v>0</v>
      </c>
      <c r="AL14" s="1198">
        <f t="shared" si="2"/>
        <v>0</v>
      </c>
      <c r="AM14" s="1198">
        <f t="shared" si="2"/>
        <v>2148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713</v>
      </c>
      <c r="BD14" s="1198">
        <f t="shared" si="2"/>
        <v>1962</v>
      </c>
      <c r="BE14" s="1198">
        <f t="shared" si="2"/>
        <v>0</v>
      </c>
      <c r="BF14" s="1198">
        <f t="shared" si="2"/>
        <v>0</v>
      </c>
      <c r="BG14" s="1198">
        <f>IF(ISNUMBER(Datos!K14/Datos!J14),Datos!K14/Datos!J14," - ")</f>
        <v>1.1359731042211432</v>
      </c>
      <c r="BH14" s="1202">
        <f>IF(ISNUMBER(((Datos!L14/Datos!K14)*11)/factor_trimestre),((Datos!L14/Datos!K14)*11)/factor_trimestre," - ")</f>
        <v>6.1782308451167376</v>
      </c>
      <c r="BI14" s="1198">
        <f>IF(ISNUMBER('Resol  Asuntos'!D14/NºAsuntos!G14),'Resol  Asuntos'!D14/NºAsuntos!G14," - ")</f>
        <v>0.19079475515119079</v>
      </c>
      <c r="BJ14" s="1198" t="str">
        <f>IF(ISNUMBER(Datos!CI14/Datos!CJ14),Datos!CI14/Datos!CJ14," - ")</f>
        <v xml:space="preserve"> - </v>
      </c>
      <c r="BK14" s="1198">
        <f>SUBTOTAL(9,BK8:BK13)</f>
        <v>0</v>
      </c>
      <c r="BL14" s="1198">
        <f>IF(ISNUMBER((I14-AB14+L14)/(F14)),(I14-AB14+L14)/(F14)," - ")</f>
        <v>-0.67741935483870963</v>
      </c>
      <c r="BM14" s="1203">
        <f>SUBTOTAL(9,BM9:BM13)</f>
        <v>9.3411126826968394E-2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955</v>
      </c>
      <c r="G17" s="743">
        <f>IF(ISNUMBER(IF(D_I="SI",Datos!I17,Datos!I17+Datos!AC17)),IF(D_I="SI",Datos!I17,Datos!I17+Datos!AC17)," - ")</f>
        <v>922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3417</v>
      </c>
      <c r="AC17" s="240">
        <f>IF(ISNUMBER(Datos!Q17),Datos!Q17," - ")</f>
        <v>133</v>
      </c>
      <c r="AD17" s="374"/>
      <c r="AE17" s="562"/>
      <c r="AF17" s="741">
        <f>IF(ISNUMBER(IF(D_I="SI",Datos!L17,Datos!L17+Datos!AF17)),IF(D_I="SI",Datos!L17,Datos!L17+Datos!AF17)," - ")</f>
        <v>1032</v>
      </c>
      <c r="AG17" s="374"/>
      <c r="AH17" s="374"/>
      <c r="AI17" s="374"/>
      <c r="AJ17" s="549"/>
      <c r="AK17" s="374"/>
      <c r="AL17" s="545"/>
      <c r="AM17" s="375">
        <f>IF(ISNUMBER(Datos!R17),Datos!R17," - ")</f>
        <v>129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417</v>
      </c>
      <c r="BD17" s="243">
        <f>IF(ISNUMBER(Datos!N17),Datos!N17," - ")</f>
        <v>2501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0.97796222095020036</v>
      </c>
      <c r="BH17" s="764">
        <f>IF(ISNUMBER(((IF(D_I="SI",Datos!L17/Datos!K17,(Datos!L17+Datos!AF17)/(Datos!K17+Datos!AE17)))*11)/factor_trimestre),((IF(D_I="SI",Datos!L17/Datos!K17,(Datos!L17+Datos!AF17)/(Datos!K17+Datos!AE17)))*11)/factor_trimestre," - ")</f>
        <v>3.3222124670763828</v>
      </c>
      <c r="BI17" s="266">
        <f>IF(ISNUMBER('Resol  Asuntos'!D17/NºAsuntos!G17),'Resol  Asuntos'!D17/NºAsuntos!G17," - ")</f>
        <v>0.12203687445127305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165</v>
      </c>
      <c r="AC18" s="547">
        <f>IF(ISNUMBER(Datos!Q18),Datos!Q18," - ")</f>
        <v>2</v>
      </c>
      <c r="AD18" s="549"/>
      <c r="AE18" s="562"/>
      <c r="AF18" s="551">
        <f>IF(ISNUMBER(Datos!L18),Datos!L18,"-")</f>
        <v>166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0.6875</v>
      </c>
      <c r="BH18" s="764">
        <f>IF(ISNUMBER(((IF(D_I="SI",Datos!L18/Datos!K18,(Datos!L18+Datos!AF18)/(Datos!K18+Datos!AE18)))*11)/factor_trimestre),((IF(D_I="SI",Datos!L18/Datos!K18,(Datos!L18+Datos!AF18)/(Datos!K18+Datos!AE18)))*11)/factor_trimestre," - ")</f>
        <v>11.066666666666666</v>
      </c>
      <c r="BI18" s="763">
        <f>IF(ISNUMBER('Resol  Asuntos'!D18/NºAsuntos!G18),'Resol  Asuntos'!D18/NºAsuntos!G18," - ")</f>
        <v>9.696969696969697E-2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955</v>
      </c>
      <c r="G23" s="1197">
        <f>SUBTOTAL(9,G16:G22)</f>
        <v>1013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3582</v>
      </c>
      <c r="AC23" s="1198">
        <f t="shared" si="5"/>
        <v>135</v>
      </c>
      <c r="AD23" s="1198">
        <f t="shared" si="5"/>
        <v>0</v>
      </c>
      <c r="AE23" s="1198">
        <f t="shared" si="5"/>
        <v>0</v>
      </c>
      <c r="AF23" s="1198">
        <f t="shared" si="5"/>
        <v>1198</v>
      </c>
      <c r="AG23" s="1198">
        <f t="shared" si="5"/>
        <v>0</v>
      </c>
      <c r="AH23" s="1198">
        <f t="shared" si="5"/>
        <v>0</v>
      </c>
      <c r="AI23" s="1198">
        <f t="shared" si="5"/>
        <v>0</v>
      </c>
      <c r="AJ23" s="1198">
        <f t="shared" si="5"/>
        <v>0</v>
      </c>
      <c r="AK23" s="1198">
        <f t="shared" si="5"/>
        <v>0</v>
      </c>
      <c r="AL23" s="1198">
        <f t="shared" si="5"/>
        <v>0</v>
      </c>
      <c r="AM23" s="1198">
        <f t="shared" si="5"/>
        <v>131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433</v>
      </c>
      <c r="BD23" s="1198">
        <f t="shared" si="5"/>
        <v>2579</v>
      </c>
      <c r="BE23" s="1198">
        <f t="shared" si="5"/>
        <v>0</v>
      </c>
      <c r="BF23" s="1198">
        <f t="shared" si="5"/>
        <v>0</v>
      </c>
      <c r="BG23" s="1198">
        <f>IF(ISNUMBER(Datos!K23/Datos!J23),Datos!K23/Datos!J23," - ")</f>
        <v>0.95929298339582214</v>
      </c>
      <c r="BH23" s="1202">
        <f>IF(ISNUMBER(((Datos!L23/Datos!K23)*11)/factor_trimestre),((Datos!L23/Datos!K23)*11)/factor_trimestre," - ")</f>
        <v>3.6789503070910108</v>
      </c>
      <c r="BI23" s="1198">
        <f>SUBTOTAL(9,BI16:BI22)</f>
        <v>0.21900657142097002</v>
      </c>
      <c r="BJ23" s="1198">
        <f>SUBTOTAL(9,BJ16:BJ22)</f>
        <v>0</v>
      </c>
      <c r="BK23" s="1198">
        <f>SUBTOTAL(9,BK16:BK22)</f>
        <v>0</v>
      </c>
      <c r="BL23" s="1198">
        <f>IF(ISNUMBER((I23-AB23+L23)/(F23)),(I23-AB23+L23)/(F23)," - ")</f>
        <v>-3.750785340314136</v>
      </c>
      <c r="BM23" s="1205">
        <f>IF(ISNUMBER((Datos!P23-Datos!Q23)/(Datos!R23-Datos!P23+Datos!Q23)),(Datos!P23-Datos!Q23)/(Datos!R23-Datos!P23+Datos!Q23)," - ")</f>
        <v>7.6923076923076927E-3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986</v>
      </c>
      <c r="G31" s="1117">
        <f t="shared" si="18"/>
        <v>1044</v>
      </c>
      <c r="H31" s="1119">
        <f t="shared" si="18"/>
        <v>0</v>
      </c>
      <c r="I31" s="1117">
        <f t="shared" si="18"/>
        <v>0</v>
      </c>
      <c r="J31" s="1119">
        <f t="shared" si="18"/>
        <v>0</v>
      </c>
      <c r="K31" s="1119">
        <f t="shared" si="18"/>
        <v>0</v>
      </c>
      <c r="L31" s="1180">
        <f t="shared" si="18"/>
        <v>0</v>
      </c>
      <c r="M31" s="1180">
        <f t="shared" si="18"/>
        <v>0</v>
      </c>
      <c r="N31" s="1180">
        <f t="shared" si="18"/>
        <v>679</v>
      </c>
      <c r="O31" s="1180">
        <f t="shared" si="18"/>
        <v>0</v>
      </c>
      <c r="P31" s="1180">
        <f t="shared" si="18"/>
        <v>0</v>
      </c>
      <c r="Q31" s="1119">
        <f t="shared" si="18"/>
        <v>756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3603</v>
      </c>
      <c r="AC31" s="1118">
        <f t="shared" si="19"/>
        <v>1045</v>
      </c>
      <c r="AD31" s="1118">
        <f t="shared" si="19"/>
        <v>0</v>
      </c>
      <c r="AE31" s="1118">
        <f t="shared" si="19"/>
        <v>0</v>
      </c>
      <c r="AF31" s="1125">
        <f t="shared" si="19"/>
        <v>1228</v>
      </c>
      <c r="AG31" s="1125">
        <f t="shared" si="19"/>
        <v>0</v>
      </c>
      <c r="AH31" s="1125">
        <f t="shared" si="19"/>
        <v>28</v>
      </c>
      <c r="AI31" s="1125">
        <f t="shared" si="19"/>
        <v>0</v>
      </c>
      <c r="AJ31" s="1118">
        <f t="shared" si="19"/>
        <v>0</v>
      </c>
      <c r="AK31" s="1125">
        <f t="shared" si="19"/>
        <v>0</v>
      </c>
      <c r="AL31" s="1125">
        <f t="shared" si="19"/>
        <v>0</v>
      </c>
      <c r="AM31" s="1125">
        <f t="shared" si="19"/>
        <v>2279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1146</v>
      </c>
      <c r="BD31" s="1117">
        <f t="shared" si="19"/>
        <v>4541</v>
      </c>
      <c r="BE31" s="1117">
        <f t="shared" si="19"/>
        <v>0</v>
      </c>
      <c r="BF31" s="1127">
        <f t="shared" si="19"/>
        <v>0</v>
      </c>
      <c r="BG31" s="1223">
        <f>IF(ISNUMBER(Datos!K31/Datos!J31),Datos!K31/Datos!J31," - ")</f>
        <v>1.0330681640929653</v>
      </c>
      <c r="BH31" s="1223">
        <f>IF(ISNUMBER(((Datos!L31/Datos!K31)*11)/factor_trimestre),((Datos!L31/Datos!K31)*11)/factor_trimestre," - ")</f>
        <v>4.8265136645024906</v>
      </c>
      <c r="BI31" s="1103">
        <f>IF(ISNUMBER(Datos!J31/Datos!I31),Datos!J31/Datos!I31," - ")</f>
        <v>2.1186384666226039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-3.6541582150101419</v>
      </c>
      <c r="BM31" s="1188">
        <f>IF(ISNUMBER((Datos!P31-Datos!Q31+R31)/(Datos!R31-Datos!P31+Datos!Q31-R31)),(Datos!P31-Datos!Q31+R31)/(Datos!R31-Datos!P31+Datos!Q31-R31)," - ")</f>
        <v>-0.11253894080996885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485.35375414914296</v>
      </c>
      <c r="G33" s="674">
        <f>IF(ISNUMBER(STDEV(G8:G30)),STDEV(G8:G30),"-")</f>
        <v>458.91818961761015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1689.0163663251715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318.26359246026601</v>
      </c>
      <c r="BD33" s="673"/>
      <c r="BE33" s="673">
        <f>IF(ISNUMBER(STDEV(BE8:BE30)),STDEV(BE8:BE30),"-")</f>
        <v>0</v>
      </c>
      <c r="BF33" s="678">
        <f>IF(ISNUMBER(STDEV(BF8:BF30)),STDEV(BF8:BF30),"-")</f>
        <v>0</v>
      </c>
      <c r="BG33" s="1052">
        <f>IF(ISNUMBER(STDEV(BG8:BG30)),STDEV(BG8:BG30),"-")</f>
        <v>0.16298239101246478</v>
      </c>
      <c r="BH33" s="1058">
        <f>IF(ISNUMBER(STDEV(BH8:BH30)),STDEV(BH8:BH30),"-")</f>
        <v>4.8989636104828547</v>
      </c>
      <c r="BI33" s="273">
        <f>IF(ISNUMBER(STDEV(BI8:BI30)),STDEV(BI8:BI30),"-")</f>
        <v>5.7192058394987581E-2</v>
      </c>
      <c r="BJ33" s="244" t="str">
        <f>IF(ISNUMBER(BL33/BM33),BL33/BM33," - ")</f>
        <v xml:space="preserve"> - </v>
      </c>
      <c r="BK33" s="709"/>
      <c r="BL33" s="681">
        <f>IF(ISNUMBER(STDEV(BL8:BL30)),STDEV(BL8:BL30),"-")</f>
        <v>2.1731979293977504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n7VGIO2Il1hQ3YOjTmmrXRcl4vXkuNH/Co7ycG6aGn8GZifNQoa/PqLdrQkQ/uKOpUCYflF8DkRfIuohjk8ZA==" saltValue="Ag+TXRCmu33CglrC5xvu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ESPLUGUES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1</v>
      </c>
      <c r="AA10" s="551">
        <f>IF(ISNUMBER(Datos!L10),Datos!L10,"-")</f>
        <v>30</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9</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15.714285714285715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0.21428571428571427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909</v>
      </c>
      <c r="AA12" s="551" t="str">
        <f>IF(ISNUMBER(IF(J_V="SI",Datos!L12,Datos!L12+Datos!AB12)-IF(Monitorios="SI",Datos!CD12,0)),
                          IF(J_V="SI",Datos!L12,Datos!L12+Datos!AB12)-IF(Monitorios="SI",Datos!CD12,0),
                          " - ")</f>
        <v xml:space="preserve"> - </v>
      </c>
      <c r="AB12" s="549"/>
      <c r="AC12" s="549"/>
      <c r="AD12" s="563"/>
      <c r="AE12" s="563">
        <f>IF(ISNUMBER(Datos!R12),Datos!R12," - ")</f>
        <v>2131</v>
      </c>
      <c r="AF12" s="693" t="str">
        <f>IF(ISNUMBER(Datos!BV12),Datos!BV12," - ")</f>
        <v xml:space="preserve"> - </v>
      </c>
      <c r="AG12" s="552" t="str">
        <f>IF(ISNUMBER(Datos!DV12),Datos!DV12," - ")</f>
        <v xml:space="preserve"> - </v>
      </c>
      <c r="AH12" s="553"/>
      <c r="AI12" s="554"/>
      <c r="AJ12" s="552">
        <f>IF(ISNUMBER(Datos!M12),Datos!M12," - ")</f>
        <v>704</v>
      </c>
      <c r="AK12" s="693">
        <f>IF(ISNUMBER(Datos!N12),Datos!N12," - ")</f>
        <v>1956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5.0500538213132398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-0.12087458745874588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620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910</v>
      </c>
      <c r="AA14" s="1199">
        <f t="shared" si="3"/>
        <v>30</v>
      </c>
      <c r="AB14" s="1199">
        <f t="shared" si="3"/>
        <v>0</v>
      </c>
      <c r="AC14" s="1199">
        <f t="shared" si="3"/>
        <v>0</v>
      </c>
      <c r="AD14" s="1199">
        <f t="shared" si="3"/>
        <v>0</v>
      </c>
      <c r="AE14" s="1199">
        <f t="shared" si="3"/>
        <v>2148</v>
      </c>
      <c r="AF14" s="1211">
        <f t="shared" si="3"/>
        <v>0</v>
      </c>
      <c r="AG14" s="1211">
        <f t="shared" si="3"/>
        <v>0</v>
      </c>
      <c r="AH14" s="1211">
        <f t="shared" si="3"/>
        <v>0</v>
      </c>
      <c r="AI14" s="1211">
        <f t="shared" si="3"/>
        <v>0</v>
      </c>
      <c r="AJ14" s="1211">
        <f t="shared" si="3"/>
        <v>713</v>
      </c>
      <c r="AK14" s="1211">
        <f t="shared" si="3"/>
        <v>1962</v>
      </c>
      <c r="AL14" s="1211">
        <f t="shared" si="3"/>
        <v>0</v>
      </c>
      <c r="AM14" s="1211">
        <f t="shared" si="3"/>
        <v>0</v>
      </c>
      <c r="AN14" s="1211">
        <f t="shared" si="3"/>
        <v>0</v>
      </c>
      <c r="AO14" s="1203">
        <f>IF(ISNUMBER(((NºAsuntos!I14/NºAsuntos!G14)*11)/factor_trimestre),((NºAsuntos!I14/NºAsuntos!G14)*11)/factor_trimestre," - ")</f>
        <v>5.1099812683971102</v>
      </c>
      <c r="AP14" s="1213" t="str">
        <f>IF(ISNUMBER(Datos!CI14/Datos!CJ14),Datos!CI14/Datos!CJ14," - ")</f>
        <v xml:space="preserve"> - </v>
      </c>
      <c r="AQ14" s="1236">
        <f t="shared" ref="AQ14:AV14" si="4">SUBTOTAL(9,AQ9:AQ13)</f>
        <v>0</v>
      </c>
      <c r="AR14" s="1236">
        <f t="shared" si="4"/>
        <v>9.3411126826968394E-2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955</v>
      </c>
      <c r="G17" s="552">
        <f>IF(ISNUMBER(IF(D_I="SI",Datos!I17,Datos!I17+Datos!AC17)),IF(D_I="SI",Datos!I17,Datos!I17+Datos!AC17)," - ")</f>
        <v>922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3417</v>
      </c>
      <c r="Z17" s="805">
        <f>IF(ISNUMBER(Datos!Q17),Datos!Q17," - ")</f>
        <v>133</v>
      </c>
      <c r="AA17" s="551">
        <f>IF(ISNUMBER(IF(D_I="SI",Datos!L17,Datos!L17+Datos!AF17)),IF(D_I="SI",Datos!L17,Datos!L17+Datos!AF17)," - ")</f>
        <v>1032</v>
      </c>
      <c r="AB17" s="549"/>
      <c r="AC17" s="549"/>
      <c r="AD17" s="563"/>
      <c r="AE17" s="563">
        <f>IF(ISNUMBER(Datos!R17),Datos!R17," - ")</f>
        <v>129</v>
      </c>
      <c r="AF17" s="693" t="str">
        <f>IF(ISNUMBER(Datos!BV17),Datos!BV17," - ")</f>
        <v xml:space="preserve"> - </v>
      </c>
      <c r="AG17" s="552"/>
      <c r="AH17" s="553"/>
      <c r="AI17" s="554"/>
      <c r="AJ17" s="552">
        <f>IF(ISNUMBER(Datos!M17),Datos!M17," - ")</f>
        <v>417</v>
      </c>
      <c r="AK17" s="693">
        <f>IF(ISNUMBER(Datos!N17),Datos!N17," - ")</f>
        <v>2501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3.3222124670763828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165</v>
      </c>
      <c r="Z18" s="805">
        <f>IF(ISNUMBER(Datos!Q18),Datos!Q18," - ")</f>
        <v>2</v>
      </c>
      <c r="AA18" s="551">
        <f>IF(ISNUMBER(Datos!L18),Datos!L18,"-")</f>
        <v>166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16</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11.066666666666666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955</v>
      </c>
      <c r="G23" s="1197">
        <f>SUBTOTAL(9,G16:G22)</f>
        <v>1013</v>
      </c>
      <c r="H23" s="1240">
        <f>SUBTOTAL(9,H16:H22)</f>
        <v>0</v>
      </c>
      <c r="I23" s="1217">
        <f>SUBTOTAL(9,I16:I22)</f>
        <v>0</v>
      </c>
      <c r="J23" s="1164">
        <f>SUBTOTAL(9,J15:J22)</f>
        <v>0</v>
      </c>
      <c r="K23" s="1240">
        <f t="shared" ref="K23:S23" si="5">SUBTOTAL(9,K16:K22)</f>
        <v>0</v>
      </c>
      <c r="L23" s="1240">
        <f t="shared" si="5"/>
        <v>0</v>
      </c>
      <c r="M23" s="1240">
        <f t="shared" si="5"/>
        <v>0</v>
      </c>
      <c r="N23" s="1240">
        <f t="shared" si="5"/>
        <v>136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3582</v>
      </c>
      <c r="Z23" s="1240">
        <f t="shared" si="6"/>
        <v>135</v>
      </c>
      <c r="AA23" s="1240">
        <f t="shared" si="6"/>
        <v>1198</v>
      </c>
      <c r="AB23" s="1240">
        <f t="shared" si="6"/>
        <v>0</v>
      </c>
      <c r="AC23" s="1240">
        <f t="shared" si="6"/>
        <v>0</v>
      </c>
      <c r="AD23" s="1240">
        <f t="shared" si="6"/>
        <v>0</v>
      </c>
      <c r="AE23" s="1240">
        <f t="shared" si="6"/>
        <v>131</v>
      </c>
      <c r="AF23" s="1240">
        <f t="shared" si="6"/>
        <v>0</v>
      </c>
      <c r="AG23" s="1240">
        <f t="shared" si="6"/>
        <v>0</v>
      </c>
      <c r="AH23" s="1240">
        <f t="shared" si="6"/>
        <v>0</v>
      </c>
      <c r="AI23" s="1240">
        <f t="shared" si="6"/>
        <v>0</v>
      </c>
      <c r="AJ23" s="1240">
        <f t="shared" si="6"/>
        <v>433</v>
      </c>
      <c r="AK23" s="1240">
        <f t="shared" si="6"/>
        <v>2579</v>
      </c>
      <c r="AL23" s="1240">
        <f t="shared" si="6"/>
        <v>0</v>
      </c>
      <c r="AM23" s="1240">
        <f t="shared" si="6"/>
        <v>0</v>
      </c>
      <c r="AN23" s="1240">
        <f t="shared" si="6"/>
        <v>0</v>
      </c>
      <c r="AO23" s="1242">
        <f>IF(ISNUMBER(((NºAsuntos!I23/NºAsuntos!G23)*11)/factor_trimestre),((NºAsuntos!I23/NºAsuntos!G23)*11)/factor_trimestre," - ")</f>
        <v>3.6789503070910108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986</v>
      </c>
      <c r="G31" s="1117">
        <f t="shared" si="12"/>
        <v>1044</v>
      </c>
      <c r="H31" s="1118">
        <f t="shared" si="12"/>
        <v>0</v>
      </c>
      <c r="I31" s="1117">
        <f t="shared" si="12"/>
        <v>0</v>
      </c>
      <c r="J31" s="1119">
        <f t="shared" si="12"/>
        <v>0</v>
      </c>
      <c r="K31" s="1117">
        <f t="shared" si="12"/>
        <v>0</v>
      </c>
      <c r="L31" s="1120">
        <f t="shared" si="12"/>
        <v>0</v>
      </c>
      <c r="M31" s="1117">
        <f t="shared" si="12"/>
        <v>0</v>
      </c>
      <c r="N31" s="1118">
        <f t="shared" si="12"/>
        <v>756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3603</v>
      </c>
      <c r="Z31" s="1124">
        <f t="shared" si="13"/>
        <v>1045</v>
      </c>
      <c r="AA31" s="1125">
        <f t="shared" si="13"/>
        <v>1228</v>
      </c>
      <c r="AB31" s="1125">
        <f t="shared" si="13"/>
        <v>0</v>
      </c>
      <c r="AC31" s="1125">
        <f t="shared" si="13"/>
        <v>0</v>
      </c>
      <c r="AD31" s="1126">
        <f t="shared" si="13"/>
        <v>0</v>
      </c>
      <c r="AE31" s="1126">
        <f t="shared" si="13"/>
        <v>2279</v>
      </c>
      <c r="AF31" s="1127">
        <f t="shared" si="13"/>
        <v>0</v>
      </c>
      <c r="AG31" s="1128">
        <f t="shared" si="13"/>
        <v>0</v>
      </c>
      <c r="AH31" s="1129">
        <f t="shared" si="13"/>
        <v>0</v>
      </c>
      <c r="AI31" s="1127">
        <f t="shared" si="13"/>
        <v>0</v>
      </c>
      <c r="AJ31" s="1117">
        <f t="shared" si="13"/>
        <v>1146</v>
      </c>
      <c r="AK31" s="1117">
        <f t="shared" si="13"/>
        <v>4541</v>
      </c>
      <c r="AL31" s="1117">
        <f t="shared" si="13"/>
        <v>0</v>
      </c>
      <c r="AM31" s="1130">
        <f t="shared" si="13"/>
        <v>0</v>
      </c>
      <c r="AN31" s="1120">
        <f>IF(ISNUMBER(Datos!K31/Datos!J31),Datos!K31/Datos!J31," - ")</f>
        <v>1.0330681640929653</v>
      </c>
      <c r="AO31" s="1120">
        <f>IF(ISNUMBER(FIND("06",Criterios!A8,1)),(IF(ISNUMBER(((Datos!R31/Datos!Q31)*11)/factor_trimestre),((Datos!R31/Datos!Q31)*11)/factor_trimestre," - ")),(IF(ISNUMBER(((Datos!L31/Datos!K31)*11)/factor_trimestre),((Datos!L31/Datos!K31)*11)/factor_trimestre," - ")))</f>
        <v>4.8265136645024906</v>
      </c>
      <c r="AP31" s="1131" t="str">
        <f>IF(ISNUMBER(Datos!CI31/Datos!CJ31),Datos!CI31/Datos!CJ31," - ")</f>
        <v xml:space="preserve"> - </v>
      </c>
      <c r="AQ31" s="1131">
        <f>IF(OR(ISNUMBER(FIND("01",Criterios!A8,1)),ISNUMBER(FIND("02",Criterios!A8,1)),ISNUMBER(FIND("03",Criterios!A8,1)),ISNUMBER(FIND("04",Criterios!A8,1))),(J31-Y31+K31)/(F31-K31),(I31-Y31+K31)/(F31-K31))</f>
        <v>-3.6541582150101419</v>
      </c>
      <c r="AR31" s="1131">
        <f>IF(ISNUMBER((Datos!P31-Datos!Q31+O31)/(Datos!R31-Datos!P31+Datos!Q31-O31)),(Datos!P31-Datos!Q31+O31)/(Datos!R31-Datos!P31+Datos!Q31-O31)," - ")</f>
        <v>-0.11253894080996885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485.35375414914296</v>
      </c>
      <c r="G33" s="674">
        <f>IF(ISNUMBER(STDEV(G8:G30)),STDEV(G8:G30),"-")</f>
        <v>458.91818961761015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318.26359246026601</v>
      </c>
      <c r="AK33" s="276"/>
      <c r="AL33" s="276">
        <f>IF(ISNUMBER(STDEV(AL8:AL30)),STDEV(AL8:AL30),"-")</f>
        <v>0</v>
      </c>
      <c r="AM33" s="278">
        <f>IF(ISNUMBER(STDEV(AM8:AM30)),STDEV(AM8:AM30),"-")</f>
        <v>0</v>
      </c>
      <c r="AN33" s="660">
        <f>IF(ISNUMBER(STDEV(AN8:AN30)),STDEV(AN8:AN30),"-")</f>
        <v>0</v>
      </c>
      <c r="AO33" s="661">
        <f>IF(ISNUMBER(STDEV(AO8:AO30)),STDEV(AO8:AO30),"-")</f>
        <v>4.9754969292473774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bHmcehKSqfetKIZywDVxu7wcoOiG/2kDazTR+7vqA+RDgOIMOk6CJQ50TFJaKop5OtSDFijqYLg4kwbWcJkiA==" saltValue="yil63pvp6k76unWDIRod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n7jgA6R87bBGdatTG1UsO52jeOo9b5QrL33KWcas0oRWG5hPsbxmdAqMPiEPmnUG4wE/OBa8KxqPqYzJ58l+w==" saltValue="yzLDIbYhoeDHnt+0ZFMb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DaP4ggmcxXCgLd2vABqIQxlEF0ZPlOQH1d4zYZdaeUGI2d953/Q8K7PXiCIHesH8+33YJVM1rIDU/rauaslA==" saltValue="MBLI14jAsme+v0mI2rXK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ESPLUGUES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0.19079475515119079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0.13491226518223398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eqEaYbd5btLMq3rAHn+hCZ+/PXRdECVpn7FUkjAMbcugjM72hDxEz09A3He69vXqKxOBhC8dVeLkN3ix+a+ACw==" saltValue="cU/D0UzahijSlOmXaQRG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y7MtLm4YECrkGF/Gv6D/FMLNxTKIi+Cqbd/P1vlZ2a0fBXnMoo3jk48YVDMbNNlqXN2DmDy9kPKSi8FKQ4uEVQ==" saltValue="1rqpM+WW5FoW+woy3+nU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ESPLUGUES DE LLOBREGAT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20</v>
      </c>
      <c r="F10" s="452">
        <f>IF(ISNUMBER(E10/B10),E10/B10," - ")</f>
        <v>20</v>
      </c>
      <c r="G10" s="451">
        <f>IF(ISNUMBER(Datos!K10),Datos!K10," - ")</f>
        <v>21</v>
      </c>
      <c r="H10" s="452">
        <f>IF(ISNUMBER(G10/B10),G10/B10," - ")</f>
        <v>21</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2027</v>
      </c>
      <c r="D12" s="452">
        <f>IF(ISNUMBER(C12/Datos!BH12),C12/Datos!BH12," - ")</f>
        <v>675.66666666666663</v>
      </c>
      <c r="E12" s="451">
        <f>IF(ISNUMBER(IF(J_V="SI",Datos!J12,Datos!J12+Datos!Z12)),IF(J_V="SI",Datos!J12,Datos!J12+Datos!Z12)," - ")</f>
        <v>3336</v>
      </c>
      <c r="F12" s="452">
        <f>IF(ISNUMBER(E12/B12),E12/B12," - ")</f>
        <v>1112</v>
      </c>
      <c r="G12" s="451">
        <f>IF(ISNUMBER(IF(J_V="SI",Datos!K12,Datos!K12+Datos!AA12)),IF(J_V="SI",Datos!K12,Datos!K12+Datos!AA12)," - ")</f>
        <v>3716</v>
      </c>
      <c r="H12" s="452">
        <f>IF(ISNUMBER(G12/B12),G12/B12," - ")</f>
        <v>1238.6666666666667</v>
      </c>
      <c r="I12" s="451">
        <f>IF(ISNUMBER(IF(J_V="SI",Datos!L12,Datos!L12+Datos!AB12)),IF(J_V="SI",Datos!L12,Datos!L12+Datos!AB12)," - ")</f>
        <v>1706</v>
      </c>
      <c r="J12" s="452">
        <f>IF(ISNUMBER(I12/B12),I12/B12," - ")</f>
        <v>568.66666666666663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2058</v>
      </c>
      <c r="D14" s="1147" t="str">
        <f>IF(ISNUMBER(C14/Datos!BI14),C14/Datos!BI14," - ")</f>
        <v xml:space="preserve"> - </v>
      </c>
      <c r="E14" s="1146">
        <f>SUBTOTAL(9,E8:E13)</f>
        <v>3356</v>
      </c>
      <c r="F14" s="1147">
        <f>IF(ISNUMBER(E14/B14),E14/B14," - ")</f>
        <v>1118.6666666666667</v>
      </c>
      <c r="G14" s="1146">
        <f>SUBTOTAL(9,G8:G13)</f>
        <v>3737</v>
      </c>
      <c r="H14" s="1147">
        <f>IF(ISNUMBER(G14/B14),G14/B14," - ")</f>
        <v>1245.6666666666667</v>
      </c>
      <c r="I14" s="1146">
        <f>SUBTOTAL(9,I8:I13)</f>
        <v>1736</v>
      </c>
      <c r="J14" s="1147">
        <f>IF(ISNUMBER(I14/B14),I14/B14," - ")</f>
        <v>578.66666666666663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922</v>
      </c>
      <c r="D17" s="452">
        <f>IF(ISNUMBER(C17/Datos!BH17),C17/Datos!BH17," - ")</f>
        <v>307.33333333333331</v>
      </c>
      <c r="E17" s="451">
        <f>IF(ISNUMBER(IF(D_I="SI",Datos!J17,Datos!J17+Datos!AD17)),IF(D_I="SI",Datos!J17,Datos!J17+Datos!AD17)," - ")</f>
        <v>3494</v>
      </c>
      <c r="F17" s="452">
        <f>IF(ISNUMBER(E17/B17),E17/B17," - ")</f>
        <v>1164.6666666666667</v>
      </c>
      <c r="G17" s="451">
        <f>IF(ISNUMBER(IF(D_I="SI",Datos!K17,Datos!K17+Datos!AE17)),IF(D_I="SI",Datos!K17,Datos!K17+Datos!AE17)," - ")</f>
        <v>3417</v>
      </c>
      <c r="H17" s="452">
        <f>IF(ISNUMBER(G17/B17),G17/B17," - ")</f>
        <v>1139</v>
      </c>
      <c r="I17" s="451">
        <f>IF(ISNUMBER(IF(D_I="SI",Datos!L17,Datos!L17+Datos!AF17)),IF(D_I="SI",Datos!L17,Datos!L17+Datos!AF17)," - ")</f>
        <v>1032</v>
      </c>
      <c r="J17" s="452">
        <f>IF(ISNUMBER(I17/B17),I17/B17," - ")</f>
        <v>344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91</v>
      </c>
      <c r="D18" s="452">
        <f>IF(ISNUMBER(C18/Datos!BH18),C18/Datos!BH18," - ")</f>
        <v>91</v>
      </c>
      <c r="E18" s="451">
        <f>IF(ISNUMBER(IF(D_I="SI",Datos!J18,Datos!J18+Datos!AD18)),IF(D_I="SI",Datos!J18,Datos!J18+Datos!AD18)," - ")</f>
        <v>240</v>
      </c>
      <c r="F18" s="452">
        <f>IF(ISNUMBER(E18/B18),E18/B18," - ")</f>
        <v>240</v>
      </c>
      <c r="G18" s="451">
        <f>IF(ISNUMBER(IF(D_I="SI",Datos!K18,Datos!K18+Datos!AE18)),IF(D_I="SI",Datos!K18,Datos!K18+Datos!AE18)," - ")</f>
        <v>165</v>
      </c>
      <c r="H18" s="452">
        <f>IF(ISNUMBER(G18/B18),G18/B18," - ")</f>
        <v>165</v>
      </c>
      <c r="I18" s="451">
        <f>IF(ISNUMBER(IF(D_I="SI",Datos!L18,Datos!L18+Datos!AF18)),IF(D_I="SI",Datos!L18,Datos!L18+Datos!AF18)," - ")</f>
        <v>166</v>
      </c>
      <c r="J18" s="452">
        <f>IF(ISNUMBER(I18/B18),I18/B18," - ")</f>
        <v>166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1013</v>
      </c>
      <c r="D23" s="1147" t="str">
        <f>IF(ISNUMBER(C23/Datos!BI23),C23/Datos!BI23," - ")</f>
        <v xml:space="preserve"> - </v>
      </c>
      <c r="E23" s="1146">
        <f>SUBTOTAL(9,E15:E22)</f>
        <v>3734</v>
      </c>
      <c r="F23" s="1147">
        <f>IF(ISNUMBER(E23/B23),E23/B23," - ")</f>
        <v>1244.6666666666667</v>
      </c>
      <c r="G23" s="1146">
        <f>SUBTOTAL(9,G15:G22)</f>
        <v>3582</v>
      </c>
      <c r="H23" s="1147">
        <f>IF(ISNUMBER(G23/B23),G23/B23," - ")</f>
        <v>1194</v>
      </c>
      <c r="I23" s="1146">
        <f>SUBTOTAL(9,I15:I22)</f>
        <v>1198</v>
      </c>
      <c r="J23" s="1147">
        <f>IF(ISNUMBER(I23/B23),I23/B23," - ")</f>
        <v>399.33333333333331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3071</v>
      </c>
      <c r="D31" s="1085" t="str">
        <f>IF(ISNUMBER(C31/Datos!BI31),C31/Datos!BI31," - ")</f>
        <v xml:space="preserve"> - </v>
      </c>
      <c r="E31" s="1084">
        <f>SUBTOTAL(9,E9:E30)</f>
        <v>7090</v>
      </c>
      <c r="F31" s="1085">
        <f>IF(ISNUMBER(E31/B31),E31/B31," - ")</f>
        <v>2363.3333333333335</v>
      </c>
      <c r="G31" s="1084">
        <f>SUBTOTAL(9,G9:G30)</f>
        <v>7319</v>
      </c>
      <c r="H31" s="1085">
        <f>IF(ISNUMBER(G31/B31),G31/B31," - ")</f>
        <v>2439.6666666666665</v>
      </c>
      <c r="I31" s="1084">
        <f>SUBTOTAL(9,I9:I30)</f>
        <v>2934</v>
      </c>
      <c r="J31" s="1085">
        <f>IF(ISNUMBER(I31/B31),I31/B31," - ")</f>
        <v>978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iZbQx6T5BwyL/mm9J+rtVSbWxIObZBzYW6BPNlNPh3LII3EjmhVSuqdO1nCX1Vw1XJaHSVO6qBvH2hinTsSfQ==" saltValue="RbnsqgxKIUPLoBhX+Ie0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ESPLUGUES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15.714285714285715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704</v>
      </c>
      <c r="AM12" s="914">
        <f>IF(ISNUMBER(Datos!N12+DatosP!N17),Datos!N12+DatosP!N17," - ")</f>
        <v>1956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5.0500538213132398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-0.12087458745874588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620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909</v>
      </c>
      <c r="AE14" s="1257">
        <f t="shared" si="1"/>
        <v>0</v>
      </c>
      <c r="AF14" s="1257">
        <f t="shared" si="1"/>
        <v>30</v>
      </c>
      <c r="AG14" s="1257">
        <f t="shared" si="1"/>
        <v>0</v>
      </c>
      <c r="AH14" s="1257">
        <f t="shared" si="1"/>
        <v>2131</v>
      </c>
      <c r="AI14" s="1257">
        <f t="shared" si="1"/>
        <v>0</v>
      </c>
      <c r="AJ14" s="1257">
        <f t="shared" si="1"/>
        <v>0</v>
      </c>
      <c r="AK14" s="1257">
        <f t="shared" si="1"/>
        <v>0</v>
      </c>
      <c r="AL14" s="1257">
        <f t="shared" si="1"/>
        <v>713</v>
      </c>
      <c r="AM14" s="1257">
        <f t="shared" si="1"/>
        <v>1962</v>
      </c>
      <c r="AN14" s="1257">
        <f t="shared" si="1"/>
        <v>0</v>
      </c>
      <c r="AO14" s="1257">
        <f t="shared" si="1"/>
        <v>0</v>
      </c>
      <c r="AP14" s="1262">
        <f>IF(ISNUMBER(((Datos!L14/Datos!K14)*11)/factor_trimestre),((Datos!L14/Datos!K14)*11)/factor_trimestre," - ")</f>
        <v>6.1782308451167376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-0.67741935483870963</v>
      </c>
      <c r="AU14" s="1257" t="str">
        <f>IF(ISNUMBER((DatosP!#REF!-DatosP!#REF!+DatosP!#REF!)/(DatosP!#REF!+DatosP!#REF!-DatosP!#REF!-DatosP!#REF!)),(DatosP!#REF!-DatosP!#REF!+DatosP!#REF!)/(DatosP!#REF!+DatosP!#REF!-DatosP!#REF!-DatosP!#REF!)," - ")</f>
        <v xml:space="preserve"> - </v>
      </c>
      <c r="AV14" s="1263">
        <f>SUBTOTAL(9,AV9:AV13)</f>
        <v>-0.12087458745874588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3.6789503070910108</v>
      </c>
      <c r="AQ23" s="1262">
        <f>IF(ISNUMBER(((Datos!M23/Datos!L23)*11)/factor_trimestre),((Datos!M23/Datos!L23)*11)/factor_trimestre," - ")</f>
        <v>3.9757929883138563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7.6923076923076927E-3</v>
      </c>
      <c r="AW23" s="1265">
        <f>IF(ISNUMBER((Datos!Q23-Datos!R23)/(Datos!S23-Datos!Q23+Datos!R23)),(Datos!Q23-Datos!R23)/(Datos!S23-Datos!Q23+Datos!R23)," - ")</f>
        <v>3.4843205574912892E-3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620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909</v>
      </c>
      <c r="AE31" s="1284">
        <f t="shared" si="9"/>
        <v>0</v>
      </c>
      <c r="AF31" s="1285">
        <f t="shared" si="9"/>
        <v>30</v>
      </c>
      <c r="AG31" s="1285">
        <f t="shared" si="9"/>
        <v>0</v>
      </c>
      <c r="AH31" s="1285">
        <f t="shared" si="9"/>
        <v>2131</v>
      </c>
      <c r="AI31" s="1285">
        <f t="shared" si="9"/>
        <v>0</v>
      </c>
      <c r="AJ31" s="1286">
        <f t="shared" si="9"/>
        <v>0</v>
      </c>
      <c r="AK31" s="1286">
        <f t="shared" si="9"/>
        <v>0</v>
      </c>
      <c r="AL31" s="1278">
        <f t="shared" si="9"/>
        <v>713</v>
      </c>
      <c r="AM31" s="1278">
        <f t="shared" si="9"/>
        <v>1962</v>
      </c>
      <c r="AN31" s="1278">
        <f t="shared" si="9"/>
        <v>0</v>
      </c>
      <c r="AO31" s="1278">
        <f t="shared" si="9"/>
        <v>0</v>
      </c>
      <c r="AP31" s="1278">
        <f>IF(ISNUMBER(((Datos!L31/Datos!K31)*11)/factor_trimestre),((Datos!L31/Datos!K31)*11)/factor_trimestre," - ")</f>
        <v>4.8265136645024906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-0.67741935483870963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-0.11253894080996885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364.73369280430711</v>
      </c>
      <c r="AM33" s="1006"/>
      <c r="AN33" s="1006">
        <f>IF(ISNUMBER(STDEV(AN8:AN30)),STDEV(AN8:AN30),"-")</f>
        <v>0</v>
      </c>
      <c r="AO33" s="1012">
        <f>IF(ISNUMBER(STDEV(AO8:AO30)),STDEV(AO8:AO30),"-")</f>
        <v>0</v>
      </c>
      <c r="AP33" s="1065">
        <f>IF(ISNUMBER(STDEV(AP8:AP30)),STDEV(AP8:AP30),"-")</f>
        <v>5.4689319047847613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iLG3ImSBH/0vyVP3k0xGEueWlbYrgyu/k+e5DzpRS1k4v05WwY8pX2bcVl5qu4cvPxO5crnUKwJN/iCLb45sQ==" saltValue="e9IldjKRfwoWp8ajwYjs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ESPLUGUES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wopoc29l+qKOCpiDVVLWPWMw+DNLFTnF7N4KKv99+zSPE4Br/lUKZJ9YumEhyBcmvkmNI2pWEZvtyIsfFsvOYQ==" saltValue="U5brV/VmkajKhB+MyIYO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ESPLUGUES DE LLOBREGAT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6</v>
      </c>
      <c r="G10" s="452">
        <f>IF(ISNUMBER(F10/B10),F10/B10," - ")</f>
        <v>6</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704</v>
      </c>
      <c r="E12" s="452">
        <f t="shared" si="0"/>
        <v>234.66666666666666</v>
      </c>
      <c r="F12" s="451">
        <f>IF(ISNUMBER(Datos!N12),Datos!N12," - ")</f>
        <v>1956</v>
      </c>
      <c r="G12" s="452">
        <f t="shared" si="1"/>
        <v>652</v>
      </c>
      <c r="H12" s="451">
        <f>IF(ISNUMBER(Datos!O12),Datos!O12," - ")</f>
        <v>1442</v>
      </c>
      <c r="I12" s="452">
        <f t="shared" si="2"/>
        <v>480.66666666666669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713</v>
      </c>
      <c r="E14" s="1147">
        <f t="shared" si="0"/>
        <v>178.25</v>
      </c>
      <c r="F14" s="1146">
        <f>SUBTOTAL(9,F9:F13)</f>
        <v>1962</v>
      </c>
      <c r="G14" s="1147">
        <f t="shared" si="1"/>
        <v>490.5</v>
      </c>
      <c r="H14" s="1146">
        <f>SUBTOTAL(9,H9:H13)</f>
        <v>1448</v>
      </c>
      <c r="I14" s="1147">
        <f>IF(ISNUMBER(H14/B14),H14/B14," - ")</f>
        <v>362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417</v>
      </c>
      <c r="E17" s="452">
        <f t="shared" si="3"/>
        <v>139</v>
      </c>
      <c r="F17" s="451">
        <f>IF(ISNUMBER(Datos!N17),Datos!N17," - ")</f>
        <v>2501</v>
      </c>
      <c r="G17" s="452">
        <f t="shared" si="4"/>
        <v>833.66666666666663</v>
      </c>
      <c r="H17" s="451">
        <f>IF(ISNUMBER(Datos!O17),Datos!O17," - ")</f>
        <v>63</v>
      </c>
      <c r="I17" s="452">
        <f t="shared" si="5"/>
        <v>21</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78</v>
      </c>
      <c r="G18" s="452">
        <f>IF(ISNUMBER(F18/B18),F18/B18," - ")</f>
        <v>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433</v>
      </c>
      <c r="E23" s="1147">
        <f t="shared" si="3"/>
        <v>108.25</v>
      </c>
      <c r="F23" s="1146">
        <f>SUBTOTAL(9,F16:F22)</f>
        <v>2579</v>
      </c>
      <c r="G23" s="1147">
        <f t="shared" si="4"/>
        <v>644.75</v>
      </c>
      <c r="H23" s="1146">
        <f>SUBTOTAL(9,H16:H22)</f>
        <v>63</v>
      </c>
      <c r="I23" s="1147">
        <f>IF(ISNUMBER(H23/B23),H23/B23," - ")</f>
        <v>15.75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1146</v>
      </c>
      <c r="E31" s="1085">
        <f>IF(ISNUMBER(D31/B31),D31/B31," - ")</f>
        <v>382</v>
      </c>
      <c r="F31" s="1084">
        <f>SUBTOTAL(9,F8:F30)</f>
        <v>4541</v>
      </c>
      <c r="G31" s="1085">
        <f>IF(ISNUMBER(F31/B31),F31/B31," - ")</f>
        <v>1513.6666666666667</v>
      </c>
      <c r="H31" s="1084">
        <f>SUBTOTAL(9,H8:H30)</f>
        <v>1511</v>
      </c>
      <c r="I31" s="1085">
        <f>IF(ISNUMBER(H31/B31),H31/B31," - ")</f>
        <v>503.66666666666669</v>
      </c>
    </row>
    <row r="34" spans="1:1">
      <c r="A34" s="439" t="str">
        <f>Criterios!A4</f>
        <v>Fecha Informe: 14 abr. 2023</v>
      </c>
    </row>
    <row r="39" spans="1:1">
      <c r="A39" s="462"/>
    </row>
  </sheetData>
  <sheetProtection algorithmName="SHA-512" hashValue="tmyF0IKNETWJYvmZuLA/bpwas4AaHYj2xAWOII5/BNcdmj3EhmVzoRQE82oPRZq37DK+7fXbNy1OzcacWxQJGw==" saltValue="wEmzo511DuIvLfZsF5/M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ESPLUGUES DE LLOBREGAT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616</v>
      </c>
      <c r="C12" s="489">
        <f>IF(ISNUMBER(Datos!Q12),Datos!Q12," - ")</f>
        <v>909</v>
      </c>
      <c r="D12" s="456">
        <f>IF(ISNUMBER(Datos!R12),Datos!R12," - ")</f>
        <v>2131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620</v>
      </c>
      <c r="C14" s="1150">
        <f>SUBTOTAL(9,C9:C13)</f>
        <v>910</v>
      </c>
      <c r="D14" s="1148">
        <f>SUBTOTAL(9,D9:D13)</f>
        <v>2148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132</v>
      </c>
      <c r="C17" s="489">
        <f>IF(ISNUMBER(Datos!Q17),Datos!Q17," - ")</f>
        <v>133</v>
      </c>
      <c r="D17" s="456">
        <f>IF(ISNUMBER(Datos!R17),Datos!R17," - ")</f>
        <v>129</v>
      </c>
    </row>
    <row r="18" spans="1:4">
      <c r="A18" s="450" t="str">
        <f>Datos!A18</f>
        <v>Jdos. Violencia contra la mujer</v>
      </c>
      <c r="B18" s="488">
        <f>IF(ISNUMBER(Datos!P18),Datos!P18," - ")</f>
        <v>4</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136</v>
      </c>
      <c r="C23" s="1150">
        <f>SUBTOTAL(9,C16:C22)</f>
        <v>135</v>
      </c>
      <c r="D23" s="1148">
        <f>SUBTOTAL(9,D16:D22)</f>
        <v>131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756</v>
      </c>
      <c r="C31" s="1089">
        <f>SUBTOTAL(9,C8:C30)</f>
        <v>1045</v>
      </c>
      <c r="D31" s="1090">
        <f>SUBTOTAL(9,D8:D30)</f>
        <v>2279</v>
      </c>
    </row>
    <row r="32" spans="1:4" ht="7.5" customHeight="1"/>
    <row r="33" spans="1:1" ht="6" customHeight="1"/>
    <row r="34" spans="1:1">
      <c r="A34" s="439" t="str">
        <f>Criterios!A4</f>
        <v>Fecha Informe: 14 abr. 2023</v>
      </c>
    </row>
    <row r="39" spans="1:1">
      <c r="A39" s="462"/>
    </row>
  </sheetData>
  <sheetProtection algorithmName="SHA-512" hashValue="gxsZzG1pe+EEkQfWwhGi0wv9OohJlaZaVX1LzKmX6AViiMrdGOWWy7UIGGZHIpGfB1G/vOZjJcMu49oZCQal1A==" saltValue="4IKaQNeOjkMSVpgcrzH3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ESPLUGUES DE LLOBREGAT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0.34782608695652173</v>
      </c>
      <c r="C10" s="515">
        <f>IF(ISNUMBER((Datos!J10-Datos!T10)/Datos!T10),(Datos!J10-Datos!T10)/Datos!T10," - ")</f>
        <v>-0.13043478260869565</v>
      </c>
      <c r="D10" s="515">
        <f>IF(ISNUMBER((Datos!K10-Datos!U10)/Datos!U10),(Datos!K10-Datos!U10)/Datos!U10," - ")</f>
        <v>0.4</v>
      </c>
      <c r="E10" s="515">
        <f>IF(ISNUMBER((Datos!L10-Datos!V10)/Datos!V10),(Datos!L10-Datos!V10)/Datos!V10," - ")</f>
        <v>-3.2258064516129031E-2</v>
      </c>
      <c r="F10" s="515">
        <f>IF(ISNUMBER((Datos!M10-Datos!W10)/Datos!W10),(Datos!M10-Datos!W10)/Datos!W10," - ")</f>
        <v>0.8</v>
      </c>
      <c r="G10" s="516">
        <f>IF(ISNUMBER((Datos!N10-Datos!X10)/Datos!X10),(Datos!N10-Datos!X10)/Datos!X10," - ")</f>
        <v>-0.14285714285714285</v>
      </c>
      <c r="H10" s="514">
        <f>IF(ISNUMBER(((NºAsuntos!G10/NºAsuntos!E10)-Datos!BD10)/Datos!BD10),((NºAsuntos!G10/NºAsuntos!E10)-Datos!BD10)/Datos!BD10," - ")</f>
        <v>0.6100000000000001</v>
      </c>
      <c r="I10" s="515">
        <f>IF(ISNUMBER(((NºAsuntos!I10/NºAsuntos!G10)-Datos!BE10)/Datos!BE10),((NºAsuntos!I10/NºAsuntos!G10)-Datos!BE10)/Datos!BE10," - ")</f>
        <v>-0.30875576036866365</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-0.2080745341614908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-0.10428634555899249</v>
      </c>
      <c r="C12" s="515">
        <f>IF(ISNUMBER(
   IF(J_V="SI",(Datos!J12-Datos!T12)/Datos!T12,(Datos!J12+Datos!Z12-(Datos!T12+Datos!AH12))/(Datos!T12+Datos!AH12))
     ),IF(J_V="SI",(Datos!J12-Datos!T12)/Datos!T12,(Datos!J12+Datos!Z12-(Datos!T12+Datos!AH12))/(Datos!T12+Datos!AH12))," - ")</f>
        <v>8.3116883116883117E-2</v>
      </c>
      <c r="D12" s="515">
        <f>IF(ISNUMBER(
   IF(J_V="SI",(Datos!K12-Datos!U12)/Datos!U12,(Datos!K12+Datos!AA12-(Datos!U12+Datos!AI12))/(Datos!U12+Datos!AI12))
     ),IF(J_V="SI",(Datos!K12-Datos!U12)/Datos!U12,(Datos!K12+Datos!AA12-(Datos!U12+Datos!AI12))/(Datos!U12+Datos!AI12))," - ")</f>
        <v>9.1656874265569913E-2</v>
      </c>
      <c r="E12" s="515">
        <f>IF(ISNUMBER(
   IF(J_V="SI",(Datos!L12-Datos!V12)/Datos!V12,(Datos!L12+Datos!AB12-(Datos!V12+Datos!AJ12))/(Datos!V12+Datos!AJ12))
     ),IF(J_V="SI",(Datos!L12-Datos!V12)/Datos!V12,(Datos!L12+Datos!AB12-(Datos!V12+Datos!AJ12))/(Datos!V12+Datos!AJ12))," - ")</f>
        <v>-0.15836211149481993</v>
      </c>
      <c r="F12" s="515">
        <f>IF(ISNUMBER((Datos!M12-Datos!W12)/Datos!W12),(Datos!M12-Datos!W12)/Datos!W12," - ")</f>
        <v>0.1465798045602606</v>
      </c>
      <c r="G12" s="516">
        <f>IF(ISNUMBER((Datos!N12-Datos!X12)/Datos!X12),(Datos!N12-Datos!X12)/Datos!X12," - ")</f>
        <v>4.1533546325878593E-2</v>
      </c>
      <c r="H12" s="514">
        <f>IF(ISNUMBER(((NºAsuntos!G12/NºAsuntos!E12)-Datos!BD12)/Datos!BD12),((NºAsuntos!G12/NºAsuntos!E12)-Datos!BD12)/Datos!BD12," - ")</f>
        <v>7.8846441061016011E-3</v>
      </c>
      <c r="I12" s="515">
        <f>IF(ISNUMBER(((NºAsuntos!I12/NºAsuntos!G12)-Datos!BE12)/Datos!BE12),((NºAsuntos!I12/NºAsuntos!G12)-Datos!BE12)/Datos!BE12," - ")</f>
        <v>-0.22902707952862403</v>
      </c>
      <c r="J12" s="521">
        <f>IF(ISNUMBER((('Resol  Asuntos'!D12/NºAsuntos!G12)-Datos!BF12)/Datos!BF12),(('Resol  Asuntos'!D12/NºAsuntos!G12)-Datos!BF12)/Datos!BF12," - ")</f>
        <v>-0.65660741163617942</v>
      </c>
      <c r="K12" s="522">
        <f>IF(ISNUMBER((((NºAsuntos!C12+NºAsuntos!E12)/NºAsuntos!G12)-Datos!BG12)/Datos!BG12),(((NºAsuntos!C12+NºAsuntos!E12)/NºAsuntos!G12)-Datos!BG12)/Datos!BG12," - ")</f>
        <v>-8.0532318273237341E-2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-9.9737532808398949E-2</v>
      </c>
      <c r="C14" s="1152">
        <f>IF(ISNUMBER(
   IF(J_V="SI",(Datos!J14-Datos!T14)/Datos!T14,(Datos!J14+Datos!Z14-(Datos!T14+Datos!AH14))/(Datos!T14+Datos!AH14))
     ),IF(J_V="SI",(Datos!J14-Datos!T14)/Datos!T14,(Datos!J14+Datos!Z14-(Datos!T14+Datos!AH14))/(Datos!T14+Datos!AH14))," - ")</f>
        <v>8.1533999355462461E-2</v>
      </c>
      <c r="D14" s="1152">
        <f>IF(ISNUMBER(
   IF(J_V="SI",(Datos!K14-Datos!U14)/Datos!U14,(Datos!K14+Datos!AA14-(Datos!U14+Datos!AI14))/(Datos!U14+Datos!AI14))
     ),IF(J_V="SI",(Datos!K14-Datos!U14)/Datos!U14,(Datos!K14+Datos!AA14-(Datos!U14+Datos!AI14))/(Datos!U14+Datos!AI14))," - ")</f>
        <v>9.3009651945013164E-2</v>
      </c>
      <c r="E14" s="1152">
        <f>IF(ISNUMBER(
   IF(J_V="SI",(Datos!L14-Datos!V14)/Datos!V14,(Datos!L14+Datos!AB14-(Datos!V14+Datos!AJ14))/(Datos!V14+Datos!AJ14))
     ),IF(J_V="SI",(Datos!L14-Datos!V14)/Datos!V14,(Datos!L14+Datos!AB14-(Datos!V14+Datos!AJ14))/(Datos!V14+Datos!AJ14))," - ")</f>
        <v>-0.15646258503401361</v>
      </c>
      <c r="F14" s="1153">
        <f>IF(ISNUMBER((Datos!M14-Datos!W14)/Datos!W14),(Datos!M14-Datos!W14)/Datos!W14," - ")</f>
        <v>0.15185783521809371</v>
      </c>
      <c r="G14" s="1154">
        <f>IF(ISNUMBER((Datos!N14-Datos!X14)/Datos!X14),(Datos!N14-Datos!X14)/Datos!X14," - ")</f>
        <v>4.0848806366047742E-2</v>
      </c>
      <c r="H14" s="1154">
        <f>IF(ISNUMBER(((NºAsuntos!G14/NºAsuntos!E14)-Datos!BD14)/Datos!BD14),((NºAsuntos!G14/NºAsuntos!E14)-Datos!BD14)/Datos!BD14," - ")</f>
        <v>1.0610533368705604E-2</v>
      </c>
      <c r="I14" s="1154">
        <f>IF(ISNUMBER(((NºAsuntos!I14/NºAsuntos!G14)-Datos!BE14)/Datos!BE14),((NºAsuntos!I14/NºAsuntos!G14)-Datos!BE14)/Datos!BE14," - ")</f>
        <v>-0.22824339797465676</v>
      </c>
      <c r="J14" s="1154">
        <f>IF(ISNUMBER((('Resol  Asuntos'!D14/NºAsuntos!G14)-Datos!BF14)/Datos!BF14),(('Resol  Asuntos'!D14/NºAsuntos!G14)-Datos!BF14)/Datos!BF14," - ")</f>
        <v>-0.65357022418379107</v>
      </c>
      <c r="K14" s="1154">
        <f>IF(ISNUMBER((((NºAsuntos!C14+NºAsuntos!E14)/NºAsuntos!G14)-Datos!BG14)/Datos!BG14),(((NºAsuntos!C14+NºAsuntos!E14)/NºAsuntos!G14)-Datos!BG14)/Datos!BG14," - ")</f>
        <v>-8.0850678839982204E-2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-0.10831721470019343</v>
      </c>
      <c r="C17" s="515">
        <f>IF(ISNUMBER(
   IF(D_I="SI",(Datos!J17-Datos!T17)/Datos!T17,(Datos!J17+Datos!AD17-(Datos!T17+Datos!AL17))/(Datos!T17+Datos!AL17))
     ),IF(D_I="SI",(Datos!J17-Datos!T17)/Datos!T17,(Datos!J17+Datos!AD17-(Datos!T17+Datos!AL17))/(Datos!T17+Datos!AL17))," - ")</f>
        <v>-1.1435105774728416E-3</v>
      </c>
      <c r="D17" s="515">
        <f>IF(ISNUMBER(
   IF(D_I="SI",(Datos!K17-Datos!U17)/Datos!U17,(Datos!K17+Datos!AE17-(Datos!U17+Datos!AM17))/(Datos!U17+Datos!AM17))
     ),IF(D_I="SI",(Datos!K17-Datos!U17)/Datos!U17,(Datos!K17+Datos!AE17-(Datos!U17+Datos!AM17))/(Datos!U17+Datos!AM17))," - ")</f>
        <v>-8.415974269632806E-2</v>
      </c>
      <c r="E17" s="515">
        <f>IF(ISNUMBER(
   IF(D_I="SI",(Datos!L17-Datos!V17)/Datos!V17,(Datos!L17+Datos!AF17-(Datos!V17+Datos!AN17))/(Datos!V17+Datos!AN17))
     ),IF(D_I="SI",(Datos!L17-Datos!V17)/Datos!V17,(Datos!L17+Datos!AF17-(Datos!V17+Datos!AN17))/(Datos!V17+Datos!AN17))," - ")</f>
        <v>0.1193058568329718</v>
      </c>
      <c r="F17" s="515">
        <f>IF(ISNUMBER((Datos!M17-Datos!W17)/Datos!W17),(Datos!M17-Datos!W17)/Datos!W17," - ")</f>
        <v>0.10026385224274406</v>
      </c>
      <c r="G17" s="516">
        <f>IF(ISNUMBER((Datos!N17-Datos!X17)/Datos!X17),(Datos!N17-Datos!X17)/Datos!X17," - ")</f>
        <v>-6.1186186186186188E-2</v>
      </c>
      <c r="H17" s="514">
        <f>IF(ISNUMBER(((NºAsuntos!G17/NºAsuntos!E17)-Datos!BD17)/Datos!BD17),((NºAsuntos!G17/NºAsuntos!E17)-Datos!BD17)/Datos!BD17," - ")</f>
        <v>-8.3111270736049084E-2</v>
      </c>
      <c r="I17" s="515">
        <f>IF(ISNUMBER(((NºAsuntos!I17/NºAsuntos!G17)-Datos!BE17)/Datos!BE17),((NºAsuntos!I17/NºAsuntos!G17)-Datos!BE17)/Datos!BE17," - ")</f>
        <v>0.22216276027035933</v>
      </c>
      <c r="J17" s="521">
        <f>IF(ISNUMBER((('Resol  Asuntos'!D17/NºAsuntos!G17)-Datos!BF17)/Datos!BF17),(('Resol  Asuntos'!D17/NºAsuntos!G17)-Datos!BF17)/Datos!BF17," - ")</f>
        <v>0.20137091973007856</v>
      </c>
      <c r="K17" s="522">
        <f>IF(ISNUMBER((((NºAsuntos!C17+NºAsuntos!E17)/NºAsuntos!G17)-Datos!BG17)/Datos!BG17),(((NºAsuntos!C17+NºAsuntos!E17)/NºAsuntos!G17)-Datos!BG17)/Datos!BG17," - ")</f>
        <v>6.3945626728514102E-2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-0.2288135593220339</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-0.27312775330396477</v>
      </c>
      <c r="E18" s="515">
        <f>IF(ISNUMBER(
   IF(D_I="SI",(Datos!L18-Datos!V18)/Datos!V18,(Datos!L18+Datos!AF18-(Datos!V18+Datos!AN18))/(Datos!V18+Datos!AN18))
     ),IF(D_I="SI",(Datos!L18-Datos!V18)/Datos!V18,(Datos!L18+Datos!AF18-(Datos!V18+Datos!AN18))/(Datos!V18+Datos!AN18))," - ")</f>
        <v>0.82417582417582413</v>
      </c>
      <c r="F18" s="515">
        <f>IF(ISNUMBER((Datos!M18-Datos!W18)/Datos!W18),(Datos!M18-Datos!W18)/Datos!W18," - ")</f>
        <v>1</v>
      </c>
      <c r="G18" s="516">
        <f>IF(ISNUMBER((Datos!N18-Datos!X18)/Datos!X18),(Datos!N18-Datos!X18)/Datos!X18," - ")</f>
        <v>-0.30973451327433627</v>
      </c>
      <c r="H18" s="514">
        <f>IF(ISNUMBER(((NºAsuntos!G18/NºAsuntos!E18)-Datos!BD18)/Datos!BD18),((NºAsuntos!G18/NºAsuntos!E18)-Datos!BD18)/Datos!BD18," - ")</f>
        <v>-0.39427312775330398</v>
      </c>
      <c r="I18" s="515">
        <f>IF(ISNUMBER(((NºAsuntos!I18/NºAsuntos!G18)-Datos!BE18)/Datos!BE18),((NºAsuntos!I18/NºAsuntos!G18)-Datos!BE18)/Datos!BE18," - ")</f>
        <v>1.5096237096237097</v>
      </c>
      <c r="J18" s="521">
        <f>IF(ISNUMBER((('Resol  Asuntos'!D18/NºAsuntos!G18)-Datos!BF18)/Datos!BF18),(('Resol  Asuntos'!D18/NºAsuntos!G18)-Datos!BF18)/Datos!BF18," - ")</f>
        <v>1.7515151515151512</v>
      </c>
      <c r="K18" s="522">
        <f>IF(ISNUMBER((((NºAsuntos!C18+NºAsuntos!E18)/NºAsuntos!G18)-Datos!BG18)/Datos!BG18),(((NºAsuntos!C18+NºAsuntos!E18)/NºAsuntos!G18)-Datos!BG18)/Datos!BG18," - ")</f>
        <v>0.4319992376596149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-0.12065972222222222</v>
      </c>
      <c r="C23" s="1152">
        <f>IF(ISNUMBER(
   IF(Criterios!B14="SI",(Datos!J23-Datos!T23)/Datos!T23,(Datos!J23+Datos!AD23-(Datos!T23+Datos!AL23))/(Datos!T23+Datos!AL23))
     ),IF(Criterios!B14="SI",(Datos!J23-Datos!T23)/Datos!T23,(Datos!J23+Datos!AD23-(Datos!T23+Datos!AL23))/(Datos!T23+Datos!AL23))," - ")</f>
        <v>9.7349918875067609E-3</v>
      </c>
      <c r="D23" s="1152">
        <f>IF(ISNUMBER(
   IF(Criterios!B14="SI",(Datos!K23-Datos!U23)/Datos!U23,(Datos!K23+Datos!AE23-(Datos!U23+Datos!AM23))/(Datos!U23+Datos!AM23))
     ),IF(Criterios!B14="SI",(Datos!K23-Datos!U23)/Datos!U23,(Datos!K23+Datos!AE23-(Datos!U23+Datos!AM23))/(Datos!U23+Datos!AM23))," - ")</f>
        <v>-9.4997473471450225E-2</v>
      </c>
      <c r="E23" s="1152">
        <f>IF(ISNUMBER(
   IF(Criterios!B14="SI",(Datos!L23-Datos!V23)/Datos!V23,(Datos!L23+Datos!AF23-(Datos!V23+Datos!AN23))/(Datos!V23+Datos!AN23))
     ),IF(Criterios!B14="SI",(Datos!L23-Datos!V23)/Datos!V23,(Datos!L23+Datos!AF23-(Datos!V23+Datos!AN23))/(Datos!V23+Datos!AN23))," - ")</f>
        <v>0.18262586377097728</v>
      </c>
      <c r="F23" s="1153">
        <f>IF(ISNUMBER((Datos!M23-Datos!W23)/Datos!W23),(Datos!M23-Datos!W23)/Datos!W23," - ")</f>
        <v>0.11886304909560723</v>
      </c>
      <c r="G23" s="1154">
        <f>IF(ISNUMBER((Datos!N23-Datos!X23)/Datos!X23),(Datos!N23-Datos!X23)/Datos!X23," - ")</f>
        <v>-7.129996398991717E-2</v>
      </c>
      <c r="H23" s="1154">
        <f>IF(ISNUMBER(((NºAsuntos!G23/NºAsuntos!E23)-Datos!BD23)/Datos!BD23),((NºAsuntos!G23/NºAsuntos!E23)-Datos!BD23)/Datos!BD23," - ")</f>
        <v>-0.10372272546797612</v>
      </c>
      <c r="I23" s="1154">
        <f>IF(ISNUMBER(((NºAsuntos!I23/NºAsuntos!G23)-Datos!BE23)/Datos!BE23),((NºAsuntos!I23/NºAsuntos!G23)-Datos!BE23)/Datos!BE23," - ")</f>
        <v>0.30676526208976235</v>
      </c>
      <c r="J23" s="1154">
        <f>IF(ISNUMBER((('Resol  Asuntos'!D23/NºAsuntos!G23)-Datos!BF23)/Datos!BF23),(('Resol  Asuntos'!D23/NºAsuntos!G23)-Datos!BF23)/Datos!BF23," - ")</f>
        <v>0.23630930997219804</v>
      </c>
      <c r="K23" s="1154">
        <f>IF(ISNUMBER((((NºAsuntos!C23+NºAsuntos!E23)/NºAsuntos!G23)-Datos!BG23)/Datos!BG23),(((NºAsuntos!C23+NºAsuntos!E23)/NºAsuntos!G23)-Datos!BG23)/Datos!BG23," - ")</f>
        <v>8.1502932762322455E-2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-0.10674810936591041</v>
      </c>
      <c r="C31" s="1092">
        <f>IF(ISNUMBER(
   IF(J_V="SI",(Datos!J31-Datos!T31)/Datos!T31,(Datos!J31+Datos!Z31-(Datos!T31+Datos!AH31))/(Datos!T31+Datos!AH31))
     ),IF(J_V="SI",(Datos!J31-Datos!T31)/Datos!T31,(Datos!J31+Datos!Z31-(Datos!T31+Datos!AH31))/(Datos!T31+Datos!AH31))," - ")</f>
        <v>4.2493750918982505E-2</v>
      </c>
      <c r="D31" s="1092">
        <f>IF(ISNUMBER(
   IF(J_V="SI",(Datos!K31-Datos!U31)/Datos!U31,(Datos!K31+Datos!AA31-(Datos!U31+Datos!AI31))/(Datos!U31+Datos!AI31))
     ),IF(J_V="SI",(Datos!K31-Datos!U31)/Datos!U31,(Datos!K31+Datos!AA31-(Datos!U31+Datos!AI31))/(Datos!U31+Datos!AI31))," - ")</f>
        <v>-7.8622746373864707E-3</v>
      </c>
      <c r="E31" s="1092">
        <f>IF(ISNUMBER(
   IF(J_V="SI",(Datos!L31-Datos!V31)/Datos!V31,(Datos!L31+Datos!AB31-(Datos!V31+Datos!AJ31))/(Datos!V31+Datos!AJ31))
     ),IF(J_V="SI",(Datos!L31-Datos!V31)/Datos!V31,(Datos!L31+Datos!AB31-(Datos!V31+Datos!AJ31))/(Datos!V31+Datos!AJ31))," - ")</f>
        <v>-4.4610875936177144E-2</v>
      </c>
      <c r="F31" s="1093">
        <f>IF(ISNUMBER((Datos!M31-Datos!W31)/Datos!W31),(Datos!M31-Datos!W31)/Datos!W31," - ")</f>
        <v>0.13916500994035785</v>
      </c>
      <c r="G31" s="1094">
        <f>IF(ISNUMBER((Datos!N31-Datos!X31)/Datos!X31),(Datos!N31-Datos!X31)/Datos!X31," - ")</f>
        <v>-2.5954525954525954E-2</v>
      </c>
      <c r="H31" s="1095">
        <f>IF(ISNUMBER((Tasas!B31-Datos!BD31)/Datos!BD31),(Tasas!B31-Datos!BD31)/Datos!BD31," - ")</f>
        <v>-4.830343156683576E-2</v>
      </c>
      <c r="I31" s="1096">
        <f>IF(ISNUMBER((Tasas!C31-Datos!BE31)/Datos!BE31),(Tasas!C31-Datos!BE31)/Datos!BE31," - ")</f>
        <v>-3.7039818524549656E-2</v>
      </c>
      <c r="J31" s="1097">
        <f>IF(ISNUMBER((Tasas!D31-Datos!BF31)/Datos!BF31),(Tasas!D31-Datos!BF31)/Datos!BF31," - ")</f>
        <v>-0.49115349404392528</v>
      </c>
      <c r="K31" s="1097">
        <f>IF(ISNUMBER((Tasas!E31-Datos!BG31)/Datos!BG31),(Tasas!E31-Datos!BG31)/Datos!BG31," - ")</f>
        <v>2.4627951596161172E-4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WTQfuUbQ5IBiMx+qnhu21frMVLT0loyff0jOxV1ROjQ1pqKQ/g8WNjNqkgZaqCzbdLxjvzhkIyvd0mmlH+6wQ==" saltValue="L0d+dW20jb2+oAj0Pcee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ESPLUGUES DE LLOBREGAT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1.05</v>
      </c>
      <c r="C10" s="498">
        <f>IF(ISNUMBER(NºAsuntos!I10/NºAsuntos!G10),NºAsuntos!I10/NºAsuntos!G10," - ")</f>
        <v>1.4285714285714286</v>
      </c>
      <c r="D10" s="499">
        <f>IF(ISNUMBER('Resol  Asuntos'!D10/NºAsuntos!G10),'Resol  Asuntos'!D10/NºAsuntos!G10," - ")</f>
        <v>0.42857142857142855</v>
      </c>
      <c r="E10" s="500">
        <f>IF(ISNUMBER((NºAsuntos!C10+NºAsuntos!E10)/NºAsuntos!G10),(NºAsuntos!C10+NºAsuntos!E10)/NºAsuntos!G10," - ")</f>
        <v>2.4285714285714284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1.1139088729016786</v>
      </c>
      <c r="C12" s="498">
        <f>IF(ISNUMBER(NºAsuntos!I12/NºAsuntos!G12),NºAsuntos!I12/NºAsuntos!G12," - ")</f>
        <v>0.45909580193756727</v>
      </c>
      <c r="D12" s="499">
        <f>IF(ISNUMBER('Resol  Asuntos'!D12/NºAsuntos!G12),'Resol  Asuntos'!D12/NºAsuntos!G12," - ")</f>
        <v>0.18945102260495156</v>
      </c>
      <c r="E12" s="500">
        <f>IF(ISNUMBER((NºAsuntos!C12+NºAsuntos!E12)/NºAsuntos!G12),(NºAsuntos!C12+NºAsuntos!E12)/NºAsuntos!G12," - ")</f>
        <v>1.4432185145317546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1.113528009535161</v>
      </c>
      <c r="C14" s="1156">
        <f>IF(ISNUMBER(NºAsuntos!I14/NºAsuntos!G14),NºAsuntos!I14/NºAsuntos!G14," - ")</f>
        <v>0.46454375167246453</v>
      </c>
      <c r="D14" s="1157">
        <f>IF(ISNUMBER('Resol  Asuntos'!D14/NºAsuntos!G14),'Resol  Asuntos'!D14/NºAsuntos!G14," - ")</f>
        <v>0.19079475515119079</v>
      </c>
      <c r="E14" s="1158">
        <f>IF(ISNUMBER((NºAsuntos!C14+NºAsuntos!E14)/NºAsuntos!G14),(NºAsuntos!C14+NºAsuntos!E14)/NºAsuntos!G14," - ")</f>
        <v>1.4487556863794488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0.97796222095020036</v>
      </c>
      <c r="C17" s="498">
        <f>IF(ISNUMBER(NºAsuntos!I17/NºAsuntos!G17),NºAsuntos!I17/NºAsuntos!G17," - ")</f>
        <v>0.30201931518876207</v>
      </c>
      <c r="D17" s="499">
        <f>IF(ISNUMBER('Resol  Asuntos'!D17/NºAsuntos!G17),'Resol  Asuntos'!D17/NºAsuntos!G17," - ")</f>
        <v>0.12203687445127305</v>
      </c>
      <c r="E17" s="500">
        <f>IF(ISNUMBER((NºAsuntos!C17+NºAsuntos!E17)/NºAsuntos!G17),(NºAsuntos!C17+NºAsuntos!E17)/NºAsuntos!G17," - ")</f>
        <v>1.292361720807726</v>
      </c>
      <c r="G17" s="523"/>
    </row>
    <row r="18" spans="1:7">
      <c r="A18" s="450" t="str">
        <f>Datos!A18</f>
        <v>Jdos. Violencia contra la mujer</v>
      </c>
      <c r="B18" s="497">
        <f>IF(ISNUMBER(NºAsuntos!G18/NºAsuntos!E18),NºAsuntos!G18/NºAsuntos!E18," - ")</f>
        <v>0.6875</v>
      </c>
      <c r="C18" s="498">
        <f>IF(ISNUMBER(NºAsuntos!I18/NºAsuntos!G18),NºAsuntos!I18/NºAsuntos!G18," - ")</f>
        <v>1.0060606060606061</v>
      </c>
      <c r="D18" s="499">
        <f>IF(ISNUMBER('Resol  Asuntos'!D18/NºAsuntos!G18),'Resol  Asuntos'!D18/NºAsuntos!G18," - ")</f>
        <v>9.696969696969697E-2</v>
      </c>
      <c r="E18" s="500">
        <f>IF(ISNUMBER((NºAsuntos!C18+NºAsuntos!E18)/NºAsuntos!G18),(NºAsuntos!C18+NºAsuntos!E18)/NºAsuntos!G18," - ")</f>
        <v>2.0060606060606059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0.95929298339582214</v>
      </c>
      <c r="C23" s="1156">
        <f>IF(ISNUMBER(NºAsuntos!I23/NºAsuntos!G23),NºAsuntos!I23/NºAsuntos!G23," - ")</f>
        <v>0.33445002791736461</v>
      </c>
      <c r="D23" s="1159">
        <f>IF(ISNUMBER('Resol  Asuntos'!D23/NºAsuntos!G23),'Resol  Asuntos'!D23/NºAsuntos!G23," - ")</f>
        <v>0.1208821887213847</v>
      </c>
      <c r="E23" s="1158">
        <f>IF(ISNUMBER((NºAsuntos!C23+NºAsuntos!E23)/NºAsuntos!G23),(NºAsuntos!C23+NºAsuntos!E23)/NºAsuntos!G23," - ")</f>
        <v>1.3252372975991067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1.0322990126939351</v>
      </c>
      <c r="C31" s="1099">
        <f>IF(ISNUMBER(NºAsuntos!I31/NºAsuntos!G31),NºAsuntos!I31/NºAsuntos!G31," - ")</f>
        <v>0.40087443639841508</v>
      </c>
      <c r="D31" s="1100">
        <f>IF(ISNUMBER('Resol  Asuntos'!D31/NºAsuntos!G31),'Resol  Asuntos'!D31/NºAsuntos!G31," - ")</f>
        <v>0.15657876759120098</v>
      </c>
      <c r="E31" s="1101">
        <f>IF(ISNUMBER((NºAsuntos!C31+NºAsuntos!E31)/NºAsuntos!G31),(NºAsuntos!C31+NºAsuntos!E31)/NºAsuntos!G31," - ")</f>
        <v>1.3883044131711983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ZPAcTnRnUrYNSUg1XUlkKspn9mBmdYDH+MIjKOa2PDy4rF3VGt1D0XzhpO/j+OPIz0TNLnE2Vo5ePZEHHp0kg==" saltValue="Zdly1QzUZt4aQGPcELOB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ESPLUGUES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1</v>
      </c>
      <c r="Y10" s="374">
        <f t="shared" ref="Y10:Y13" si="0">SUM(W10:X10)</f>
        <v>22</v>
      </c>
      <c r="Z10" s="375" t="str">
        <f>IF(ISNUMBER(Datos!CC10),Datos!CC10," - ")</f>
        <v xml:space="preserve"> - </v>
      </c>
      <c r="AA10" s="372">
        <f>IF(ISNUMBER(Datos!L10),Datos!L10,"-")</f>
        <v>30</v>
      </c>
      <c r="AB10" s="374">
        <f>IF(ISNUMBER(Datos!R10),Datos!R10," - ")</f>
        <v>17</v>
      </c>
      <c r="AC10" s="374">
        <f t="shared" ref="AC10:AC13" si="1">IF(ISNUMBER(AA10+AB10),AA10+AB10," - ")</f>
        <v>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1.05</v>
      </c>
      <c r="AM10" s="284">
        <f>IF(ISNUMBER(((NºAsuntos!I10/NºAsuntos!G10)*11)/factor_trimestre),((NºAsuntos!I10/NºAsuntos!G10)*11)/factor_trimestre," - ")</f>
        <v>15.714285714285715</v>
      </c>
      <c r="AN10" s="267">
        <f>IF(ISNUMBER('Resol  Asuntos'!D10/NºAsuntos!G10),'Resol  Asuntos'!D10/NºAsuntos!G10," - ")</f>
        <v>0.42857142857142855</v>
      </c>
      <c r="AO10" s="268">
        <f>IF(ISNUMBER((NºAsuntos!C10+NºAsuntos!E10)/NºAsuntos!G10),(NºAsuntos!C10+NºAsuntos!E10)/NºAsuntos!G10," - ")</f>
        <v>2.4285714285714284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909</v>
      </c>
      <c r="Y12" s="374">
        <f t="shared" si="0"/>
        <v>909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704</v>
      </c>
      <c r="AJ12" s="243" t="str">
        <f>IF(ISNUMBER(Datos!BW12),Datos!BW12," - ")</f>
        <v xml:space="preserve"> - </v>
      </c>
      <c r="AK12" s="242" t="str">
        <f>IF(ISNUMBER(Datos!BX12),Datos!BX12," - ")</f>
        <v xml:space="preserve"> - </v>
      </c>
      <c r="AL12" s="266">
        <f>IF(ISNUMBER(NºAsuntos!G12/NºAsuntos!E12),NºAsuntos!G12/NºAsuntos!E12," - ")</f>
        <v>1.1139088729016786</v>
      </c>
      <c r="AM12" s="284">
        <f>IF(ISNUMBER(((NºAsuntos!I12/NºAsuntos!G12)*11)/factor_trimestre),((NºAsuntos!I12/NºAsuntos!G12)*11)/factor_trimestre," - ")</f>
        <v>5.0500538213132398</v>
      </c>
      <c r="AN12" s="267">
        <f>IF(ISNUMBER('Resol  Asuntos'!D12/NºAsuntos!G12),'Resol  Asuntos'!D12/NºAsuntos!G12," - ")</f>
        <v>0.18945102260495156</v>
      </c>
      <c r="AO12" s="268">
        <f>IF(ISNUMBER((NºAsuntos!C12+NºAsuntos!E12)/NºAsuntos!G12),(NºAsuntos!C12+NºAsuntos!E12)/NºAsuntos!G12," - ")</f>
        <v>1.4432185145317546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31</v>
      </c>
      <c r="G14" s="1163">
        <f t="shared" si="5"/>
        <v>31</v>
      </c>
      <c r="H14" s="1162">
        <f t="shared" si="5"/>
        <v>0</v>
      </c>
      <c r="I14" s="1164">
        <f t="shared" si="5"/>
        <v>0</v>
      </c>
      <c r="J14" s="1164">
        <f t="shared" si="5"/>
        <v>0</v>
      </c>
      <c r="K14" s="1164">
        <f t="shared" si="5"/>
        <v>0</v>
      </c>
      <c r="L14" s="1164">
        <f t="shared" si="5"/>
        <v>620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910</v>
      </c>
      <c r="Y14" s="1165">
        <f t="shared" si="6"/>
        <v>931</v>
      </c>
      <c r="Z14" s="1165">
        <f t="shared" si="6"/>
        <v>0</v>
      </c>
      <c r="AA14" s="1165">
        <f t="shared" si="6"/>
        <v>30</v>
      </c>
      <c r="AB14" s="1165">
        <f t="shared" si="6"/>
        <v>2148</v>
      </c>
      <c r="AC14" s="1165">
        <f t="shared" si="6"/>
        <v>47</v>
      </c>
      <c r="AD14" s="1165">
        <f t="shared" si="6"/>
        <v>0</v>
      </c>
      <c r="AE14" s="1169">
        <f t="shared" si="6"/>
        <v>0</v>
      </c>
      <c r="AF14" s="1162">
        <f t="shared" si="6"/>
        <v>0</v>
      </c>
      <c r="AG14" s="1170">
        <f t="shared" si="6"/>
        <v>0</v>
      </c>
      <c r="AH14" s="1167">
        <f t="shared" si="6"/>
        <v>0</v>
      </c>
      <c r="AI14" s="1162">
        <f t="shared" si="6"/>
        <v>713</v>
      </c>
      <c r="AJ14" s="1164">
        <f t="shared" si="6"/>
        <v>0</v>
      </c>
      <c r="AK14" s="1167">
        <f>SUBTOTAL(9,AK9:AK13)</f>
        <v>0</v>
      </c>
      <c r="AL14" s="1171">
        <f>IF(ISNUMBER(NºAsuntos!G14/NºAsuntos!E14),NºAsuntos!G14/NºAsuntos!E14," - ")</f>
        <v>1.113528009535161</v>
      </c>
      <c r="AM14" s="1171">
        <f>IF(ISNUMBER(((NºAsuntos!I14/NºAsuntos!G14)*11)/factor_trimestre),((NºAsuntos!I14/NºAsuntos!G14)*11)/factor_trimestre," - ")</f>
        <v>5.1099812683971102</v>
      </c>
      <c r="AN14" s="1172">
        <f>IF(ISNUMBER('Resol  Asuntos'!D14/NºAsuntos!G14),'Resol  Asuntos'!D14/NºAsuntos!G14," - ")</f>
        <v>0.19079475515119079</v>
      </c>
      <c r="AO14" s="1173">
        <f>IF(ISNUMBER((NºAsuntos!C14+NºAsuntos!E14)/NºAsuntos!G14),(NºAsuntos!C14+NºAsuntos!E14)/NºAsuntos!G14," - ")</f>
        <v>1.4487556863794488</v>
      </c>
      <c r="AP14" s="1174" t="str">
        <f t="shared" si="2"/>
        <v xml:space="preserve"> - </v>
      </c>
      <c r="AQ14" s="1174">
        <f>IF(ISNUMBER((H14-W14+K14)/(F14)),(H14-W14+K14)/(F14)," - ")</f>
        <v>-0.67741935483870963</v>
      </c>
      <c r="AR14" s="1175">
        <f>IF(ISNUMBER((Datos!P14-Datos!Q14)/(Datos!R14-Datos!P14+Datos!Q14)),(Datos!P14-Datos!Q14)/(Datos!R14-Datos!P14+Datos!Q14)," - ")</f>
        <v>-0.11894995898277276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955</v>
      </c>
      <c r="G17" s="373">
        <f>IF(ISNUMBER(IF(D_I="SI",Datos!I17,Datos!I17+Datos!AC17)),IF(D_I="SI",Datos!I17,Datos!I17+Datos!AC17)," - ")</f>
        <v>922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3417</v>
      </c>
      <c r="X17" s="240">
        <f>IF(ISNUMBER(Datos!Q17),Datos!Q17," - ")</f>
        <v>133</v>
      </c>
      <c r="Y17" s="374">
        <f t="shared" ref="Y17:Y22" si="9">SUM(W17:X17)</f>
        <v>3550</v>
      </c>
      <c r="Z17" s="375" t="str">
        <f>IF(ISNUMBER(Datos!CC17),Datos!CC17," - ")</f>
        <v xml:space="preserve"> - </v>
      </c>
      <c r="AA17" s="372">
        <f>IF(ISNUMBER(IF(D_I="SI",Datos!L17,Datos!L17+Datos!AF17)),IF(D_I="SI",Datos!L17,Datos!L17+Datos!AF17)," - ")</f>
        <v>1032</v>
      </c>
      <c r="AB17" s="374">
        <f>IF(ISNUMBER(Datos!R17),Datos!R17," - ")</f>
        <v>129</v>
      </c>
      <c r="AC17" s="374">
        <f t="shared" si="8"/>
        <v>1161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417</v>
      </c>
      <c r="AJ17" s="245" t="str">
        <f>IF(ISNUMBER(Datos!BW17),Datos!BW17," - ")</f>
        <v xml:space="preserve"> - </v>
      </c>
      <c r="AK17" s="246" t="str">
        <f>IF(ISNUMBER(Datos!BX17),Datos!BX17," - ")</f>
        <v xml:space="preserve"> - </v>
      </c>
      <c r="AL17" s="266">
        <f>IF(ISNUMBER(NºAsuntos!G17/NºAsuntos!E17),NºAsuntos!G17/NºAsuntos!E17," - ")</f>
        <v>0.97796222095020036</v>
      </c>
      <c r="AM17" s="284">
        <f>IF(ISNUMBER(((NºAsuntos!I17/NºAsuntos!G17)*11)/factor_trimestre),((NºAsuntos!I17/NºAsuntos!G17)*11)/factor_trimestre," - ")</f>
        <v>3.3222124670763828</v>
      </c>
      <c r="AN17" s="267">
        <f>IF(ISNUMBER('Resol  Asuntos'!D17/NºAsuntos!G17),'Resol  Asuntos'!D17/NºAsuntos!G17," - ")</f>
        <v>0.12203687445127305</v>
      </c>
      <c r="AO17" s="268">
        <f>IF(ISNUMBER((NºAsuntos!C17+NºAsuntos!E17)/NºAsuntos!G17),(NºAsuntos!C17+NºAsuntos!E17)/NºAsuntos!G17," - ")</f>
        <v>1.292361720807726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165</v>
      </c>
      <c r="X18" s="240">
        <f>IF(ISNUMBER(Datos!Q18),Datos!Q18," - ")</f>
        <v>2</v>
      </c>
      <c r="Y18" s="374">
        <f t="shared" si="9"/>
        <v>167</v>
      </c>
      <c r="Z18" s="375" t="str">
        <f>IF(ISNUMBER(Datos!CC18),Datos!CC18," - ")</f>
        <v xml:space="preserve"> - </v>
      </c>
      <c r="AA18" s="372">
        <f>IF(ISNUMBER(Datos!L18),Datos!L18,"-")</f>
        <v>166</v>
      </c>
      <c r="AB18" s="374">
        <f>IF(ISNUMBER(Datos!R18),Datos!R18," - ")</f>
        <v>2</v>
      </c>
      <c r="AC18" s="374">
        <f t="shared" si="8"/>
        <v>168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0.6875</v>
      </c>
      <c r="AM18" s="284">
        <f>IF(ISNUMBER(((NºAsuntos!I18/NºAsuntos!G18)*11)/factor_trimestre),((NºAsuntos!I18/NºAsuntos!G18)*11)/factor_trimestre," - ")</f>
        <v>11.066666666666666</v>
      </c>
      <c r="AN18" s="267">
        <f>IF(ISNUMBER('Resol  Asuntos'!D18/NºAsuntos!G18),'Resol  Asuntos'!D18/NºAsuntos!G18," - ")</f>
        <v>9.696969696969697E-2</v>
      </c>
      <c r="AO18" s="268">
        <f>IF(ISNUMBER((NºAsuntos!C18+NºAsuntos!E18)/NºAsuntos!G18),(NºAsuntos!C18+NºAsuntos!E18)/NºAsuntos!G18," - ")</f>
        <v>2.0060606060606059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955</v>
      </c>
      <c r="G23" s="1163">
        <f>SUBTOTAL(9,G16:G22)</f>
        <v>1013</v>
      </c>
      <c r="H23" s="1162">
        <f t="shared" ref="H23:O23" si="13">SUBTOTAL(9,H15:H22)</f>
        <v>0</v>
      </c>
      <c r="I23" s="1164">
        <f t="shared" si="13"/>
        <v>0</v>
      </c>
      <c r="J23" s="1164">
        <f t="shared" si="13"/>
        <v>0</v>
      </c>
      <c r="K23" s="1164">
        <f t="shared" si="13"/>
        <v>0</v>
      </c>
      <c r="L23" s="1164">
        <f t="shared" si="13"/>
        <v>136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3582</v>
      </c>
      <c r="X23" s="1164">
        <f t="shared" si="14"/>
        <v>135</v>
      </c>
      <c r="Y23" s="1165">
        <f t="shared" si="14"/>
        <v>3717</v>
      </c>
      <c r="Z23" s="1165">
        <f t="shared" si="14"/>
        <v>0</v>
      </c>
      <c r="AA23" s="1165">
        <f t="shared" si="14"/>
        <v>1198</v>
      </c>
      <c r="AB23" s="1165">
        <f t="shared" si="14"/>
        <v>131</v>
      </c>
      <c r="AC23" s="1165">
        <f t="shared" si="14"/>
        <v>1329</v>
      </c>
      <c r="AD23" s="1165">
        <f t="shared" si="14"/>
        <v>0</v>
      </c>
      <c r="AE23" s="1169">
        <f t="shared" si="14"/>
        <v>0</v>
      </c>
      <c r="AF23" s="1162">
        <f t="shared" si="14"/>
        <v>0</v>
      </c>
      <c r="AG23" s="1170">
        <f t="shared" si="14"/>
        <v>0</v>
      </c>
      <c r="AH23" s="1167">
        <f t="shared" si="14"/>
        <v>0</v>
      </c>
      <c r="AI23" s="1162">
        <f t="shared" si="14"/>
        <v>433</v>
      </c>
      <c r="AJ23" s="1164">
        <f t="shared" si="14"/>
        <v>0</v>
      </c>
      <c r="AK23" s="1167">
        <f t="shared" si="14"/>
        <v>0</v>
      </c>
      <c r="AL23" s="1171">
        <f>IF(ISNUMBER(NºAsuntos!G23/NºAsuntos!E23),NºAsuntos!G23/NºAsuntos!E23," - ")</f>
        <v>0.95929298339582214</v>
      </c>
      <c r="AM23" s="1171">
        <f>IF(ISNUMBER(((NºAsuntos!I23/NºAsuntos!G23)*11)/factor_trimestre),((NºAsuntos!I23/NºAsuntos!G23)*11)/factor_trimestre," - ")</f>
        <v>3.6789503070910108</v>
      </c>
      <c r="AN23" s="1172">
        <f>IF(ISNUMBER('Resol  Asuntos'!D23/NºAsuntos!G23),'Resol  Asuntos'!D23/NºAsuntos!G23," - ")</f>
        <v>0.1208821887213847</v>
      </c>
      <c r="AO23" s="1173">
        <f>IF(ISNUMBER((NºAsuntos!C23+NºAsuntos!E23)/NºAsuntos!G23),(NºAsuntos!C23+NºAsuntos!E23)/NºAsuntos!G23," - ")</f>
        <v>1.3252372975991067</v>
      </c>
      <c r="AP23" s="1174" t="str">
        <f t="shared" si="2"/>
        <v xml:space="preserve"> - </v>
      </c>
      <c r="AQ23" s="1174">
        <f>IF(ISNUMBER((H23-W23+K23)/(F23)),(H23-W23+K23)/(F23)," - ")</f>
        <v>-3.750785340314136</v>
      </c>
      <c r="AR23" s="1175">
        <f>IF(ISNUMBER((Datos!P23-Datos!Q23)/(Datos!R23-Datos!P23+Datos!Q23)),(Datos!P23-Datos!Q23)/(Datos!R23-Datos!P23+Datos!Q23)," - ")</f>
        <v>7.6923076923076927E-3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986</v>
      </c>
      <c r="G31" s="1118">
        <f t="shared" si="20"/>
        <v>1044</v>
      </c>
      <c r="H31" s="1117">
        <f t="shared" si="20"/>
        <v>0</v>
      </c>
      <c r="I31" s="1119">
        <f t="shared" si="20"/>
        <v>0</v>
      </c>
      <c r="J31" s="1119">
        <f t="shared" si="20"/>
        <v>0</v>
      </c>
      <c r="K31" s="1180">
        <f t="shared" si="20"/>
        <v>0</v>
      </c>
      <c r="L31" s="1119">
        <f t="shared" si="20"/>
        <v>756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3603</v>
      </c>
      <c r="X31" s="1118">
        <f t="shared" si="21"/>
        <v>1045</v>
      </c>
      <c r="Y31" s="1125">
        <f t="shared" si="21"/>
        <v>4648</v>
      </c>
      <c r="Z31" s="1125">
        <f t="shared" si="21"/>
        <v>0</v>
      </c>
      <c r="AA31" s="1125">
        <f t="shared" si="21"/>
        <v>1228</v>
      </c>
      <c r="AB31" s="1125">
        <f t="shared" si="21"/>
        <v>2279</v>
      </c>
      <c r="AC31" s="1125">
        <f t="shared" si="21"/>
        <v>1376</v>
      </c>
      <c r="AD31" s="1125">
        <f t="shared" si="21"/>
        <v>0</v>
      </c>
      <c r="AE31" s="1127">
        <f t="shared" si="21"/>
        <v>0</v>
      </c>
      <c r="AF31" s="1128">
        <f t="shared" si="21"/>
        <v>0</v>
      </c>
      <c r="AG31" s="1129">
        <f t="shared" si="21"/>
        <v>0</v>
      </c>
      <c r="AH31" s="1127">
        <f t="shared" si="21"/>
        <v>0</v>
      </c>
      <c r="AI31" s="1117">
        <f t="shared" si="21"/>
        <v>1146</v>
      </c>
      <c r="AJ31" s="1117">
        <f t="shared" si="21"/>
        <v>0</v>
      </c>
      <c r="AK31" s="1127">
        <f t="shared" si="21"/>
        <v>0</v>
      </c>
      <c r="AL31" s="1183">
        <f>IF(ISNUMBER(NºAsuntos!G31/NºAsuntos!E31),NºAsuntos!G31/NºAsuntos!E31," - ")</f>
        <v>1.0322990126939351</v>
      </c>
      <c r="AM31" s="1184">
        <f>IF(ISNUMBER(((NºAsuntos!I31/NºAsuntos!G31)*11)/factor_trimestre),((NºAsuntos!I31/NºAsuntos!G31)*11)/factor_trimestre," - ")</f>
        <v>4.4096188003825656</v>
      </c>
      <c r="AN31" s="1184">
        <f>IF(ISNUMBER('Resol  Asuntos'!D31/NºAsuntos!G31),'Resol  Asuntos'!D31/NºAsuntos!G31," - ")</f>
        <v>0.15657876759120098</v>
      </c>
      <c r="AO31" s="1185">
        <f>IF(ISNUMBER((NºAsuntos!C31+NºAsuntos!E31)/NºAsuntos!G31),(NºAsuntos!C31+NºAsuntos!E31)/NºAsuntos!G31," - ")</f>
        <v>1.3883044131711983</v>
      </c>
      <c r="AP31" s="1186" t="str">
        <f t="shared" si="2"/>
        <v xml:space="preserve"> - </v>
      </c>
      <c r="AQ31" s="1187">
        <f>IF(OR(ISNUMBER(FIND("01",Criterios!A8,1)),ISNUMBER(FIND("02",Criterios!A8,1)),ISNUMBER(FIND("03",Criterios!A8,1)),ISNUMBER(FIND("04",Criterios!A8,1))),(I31-W31+K31)/(F31-K31),(H31-W31+K31)/(F31-K31))</f>
        <v>-3.6541582150101419</v>
      </c>
      <c r="AR31" s="1188">
        <f>IF(ISNUMBER((Datos!P31-Datos!Q31)/(Datos!R31-Datos!P31+Datos!Q31)),(Datos!P31-Datos!Q31)/(Datos!R31-Datos!P31+Datos!Q31)," - ")</f>
        <v>-0.11253894080996885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485.35375414914296</v>
      </c>
      <c r="G33" s="277">
        <f>IF(ISNUMBER(STDEV(G8:G30)),STDEV(G8:G30),"-")</f>
        <v>458.91818961761015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1689.0163663251715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318.26359246026601</v>
      </c>
      <c r="AJ33" s="276">
        <f t="shared" si="25"/>
        <v>0</v>
      </c>
      <c r="AK33" s="278">
        <f t="shared" si="25"/>
        <v>0</v>
      </c>
      <c r="AL33" s="273">
        <f t="shared" si="25"/>
        <v>0.15910274491641649</v>
      </c>
      <c r="AM33" s="274">
        <f t="shared" si="25"/>
        <v>4.9754969292473774</v>
      </c>
      <c r="AN33" s="274">
        <f t="shared" si="25"/>
        <v>0.12243816626040691</v>
      </c>
      <c r="AO33" s="275">
        <f t="shared" si="25"/>
        <v>0.45809622321253474</v>
      </c>
      <c r="AP33" s="317" t="str">
        <f t="shared" si="25"/>
        <v>-</v>
      </c>
      <c r="AQ33" s="318">
        <f t="shared" si="25"/>
        <v>2.1731979293977504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4aMAnv2AD2+4AkukCLtS9N/GfWYm0LJ2cXZDElBStiJD9bY+9eFzgGODX7NZP0YQRK36JuOdoGn/mJtZkxTrKQ==" saltValue="BapfiTwpF+dr/l0CO1u8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ESPLUGUES DE LLOBREGAT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0.34782608695652173</v>
      </c>
      <c r="E10" s="393">
        <f>IF(ISNUMBER((Datos!J10-Datos!T10)/Datos!T10),(Datos!J10-Datos!T10)/Datos!T10," - ")</f>
        <v>-0.13043478260869565</v>
      </c>
      <c r="F10" s="393">
        <f>IF(ISNUMBER((Datos!K10-Datos!U10)/Datos!U10),(Datos!K10-Datos!U10)/Datos!U10," - ")</f>
        <v>0.4</v>
      </c>
      <c r="G10" s="394">
        <f>IF(ISNUMBER((Datos!L10-Datos!V10)/Datos!V10),(Datos!L10-Datos!V10)/Datos!V10," - ")</f>
        <v>-3.2258064516129031E-2</v>
      </c>
      <c r="H10" s="244">
        <f>IF(ISNUMBER((Datos!M10-Datos!W10)/Datos!W10),(Datos!M10-Datos!W10)/Datos!W10," - ")</f>
        <v>0.8</v>
      </c>
      <c r="I10" s="395">
        <f>IF(ISNUMBER((Tasas!C10-Datos!BE10)/Datos!BE10),(Tasas!C10-Datos!BE10)/Datos!BE10," - ")</f>
        <v>-0.30875576036866365</v>
      </c>
      <c r="J10" s="394">
        <f>IF(ISNUMBER((Tasas!D10-Datos!BF10)/Datos!BF10),(Tasas!D10-Datos!BF10)/Datos!BF10," - ")</f>
        <v>0.2857142857142857</v>
      </c>
      <c r="K10" s="396">
        <f>IF(ISNUMBER((Tasas!E10-Datos!BG10)/Datos!BG10),(Tasas!E10-Datos!BG10)/Datos!BG10," - ")</f>
        <v>-0.2080745341614908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0.1465798045602606</v>
      </c>
      <c r="I12" s="395">
        <f>IF(ISNUMBER((Tasas!C12-Datos!BE12)/Datos!BE12),(Tasas!C12-Datos!BE12)/Datos!BE12," - ")</f>
        <v>-0.22902707952862403</v>
      </c>
      <c r="J12" s="394">
        <f>IF(ISNUMBER((Tasas!D12-Datos!BF12)/Datos!BF12),(Tasas!D12-Datos!BF12)/Datos!BF12," - ")</f>
        <v>-0.65660741163617942</v>
      </c>
      <c r="K12" s="396">
        <f>IF(ISNUMBER((Tasas!E12-Datos!BG12)/Datos!BG12),(Tasas!E12-Datos!BG12)/Datos!BG12," - ")</f>
        <v>-8.0532318273237341E-2</v>
      </c>
      <c r="M12" t="e">
        <f>IF(Monitorios="SI",Datos!CE12,0)</f>
        <v>#REF!</v>
      </c>
      <c r="N12" t="e">
        <f>IF(Monitorios="SI",Datos!CF12,0)</f>
        <v>#REF!</v>
      </c>
      <c r="O12" t="e">
        <f>IF(Monitorios="SI",Datos!CG12,0)</f>
        <v>#REF!</v>
      </c>
      <c r="P12" t="e">
        <f>IF(Monitorios="SI",Datos!CH12,0)</f>
        <v>#REF!</v>
      </c>
      <c r="Q12">
        <f>IF(J_V="SI",0,Datos!AG12)</f>
        <v>60</v>
      </c>
      <c r="R12">
        <f>IF(J_V="SI",0,Datos!AH12)</f>
        <v>718</v>
      </c>
      <c r="S12">
        <f>IF(J_V="SI",0,Datos!AI12)</f>
        <v>732</v>
      </c>
      <c r="T12">
        <f>IF(J_V="SI",0,Datos!AJ12)</f>
        <v>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0.15185783521809371</v>
      </c>
      <c r="I14" s="402">
        <f>IF(ISNUMBER((Tasas!C14-Datos!BE14)/Datos!BE14),(Tasas!C14-Datos!BE14)/Datos!BE14," - ")</f>
        <v>-0.22824339797465676</v>
      </c>
      <c r="J14" s="400">
        <f>IF(ISNUMBER((Tasas!D14-Datos!BF14)/Datos!BF14),(Tasas!D14-Datos!BF14)/Datos!BF14," - ")</f>
        <v>-0.65357022418379107</v>
      </c>
      <c r="K14" s="403">
        <f>IF(ISNUMBER((Tasas!E14-Datos!BG14)/Datos!BG14),(Tasas!E14-Datos!BG14)/Datos!BG14," - ")</f>
        <v>-8.0850678839982204E-2</v>
      </c>
      <c r="M14" t="e">
        <f>IF(Monitorios="SI",Datos!CE14,0)</f>
        <v>#REF!</v>
      </c>
      <c r="N14" t="e">
        <f>IF(Monitorios="SI",Datos!CF14,0)</f>
        <v>#REF!</v>
      </c>
      <c r="O14" t="e">
        <f>IF(Monitorios="SI",Datos!CG14,0)</f>
        <v>#REF!</v>
      </c>
      <c r="P14" t="e">
        <f>IF(Monitorios="SI",Datos!CH14,0)</f>
        <v>#REF!</v>
      </c>
      <c r="Q14">
        <f>IF(J_V="SI",0,Datos!AG14)</f>
        <v>60</v>
      </c>
      <c r="R14">
        <f>IF(J_V="SI",0,Datos!AH14)</f>
        <v>718</v>
      </c>
      <c r="S14">
        <f>IF(J_V="SI",0,Datos!AI14)</f>
        <v>732</v>
      </c>
      <c r="T14">
        <f>IF(J_V="SI",0,Datos!AJ14)</f>
        <v>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-0.10831721470019343</v>
      </c>
      <c r="E17" s="393">
        <f>IF(ISNUMBER(
   IF(D_I="SI",(Datos!J17-Datos!T17)/Datos!T17,(Datos!J17+Datos!AD17-(Datos!T17+Datos!AL17))/(Datos!T17+Datos!AL17))
     ),IF(D_I="SI",(Datos!J17-Datos!T17)/Datos!T17,(Datos!J17+Datos!AD17-(Datos!T17+Datos!AL17))/(Datos!T17+Datos!AL17))," - ")</f>
        <v>-1.1435105774728416E-3</v>
      </c>
      <c r="F17" s="393">
        <f>IF(ISNUMBER(
   IF(D_I="SI",(Datos!K17-Datos!U17)/Datos!U17,(Datos!K17+Datos!AE17-(Datos!U17+Datos!AM17))/(Datos!U17+Datos!AM17))
     ),IF(D_I="SI",(Datos!K17-Datos!U17)/Datos!U17,(Datos!K17+Datos!AE17-(Datos!U17+Datos!AM17))/(Datos!U17+Datos!AM17))," - ")</f>
        <v>-8.415974269632806E-2</v>
      </c>
      <c r="G17" s="394">
        <f>IF(ISNUMBER(
   IF(D_I="SI",(Datos!L17-Datos!V17)/Datos!V17,(Datos!L17+Datos!AF17-(Datos!V17+Datos!AN17))/(Datos!V17+Datos!AN17))
     ),IF(D_I="SI",(Datos!L17-Datos!V17)/Datos!V17,(Datos!L17+Datos!AF17-(Datos!V17+Datos!AN17))/(Datos!V17+Datos!AN17))," - ")</f>
        <v>0.1193058568329718</v>
      </c>
      <c r="H17" s="244">
        <f>IF(ISNUMBER((Datos!M17-Datos!W17)/Datos!W17),(Datos!M17-Datos!W17)/Datos!W17," - ")</f>
        <v>0.10026385224274406</v>
      </c>
      <c r="I17" s="395">
        <f>IF(ISNUMBER((Tasas!C17-Datos!BE17)/Datos!BE17),(Tasas!C17-Datos!BE17)/Datos!BE17," - ")</f>
        <v>0.22216276027035933</v>
      </c>
      <c r="J17" s="394">
        <f>IF(ISNUMBER((Tasas!D17-Datos!BF17)/Datos!BF17),(Tasas!D17-Datos!BF17)/Datos!BF17," - ")</f>
        <v>0.20137091973007856</v>
      </c>
      <c r="K17" s="396">
        <f>IF(ISNUMBER((Tasas!E17-Datos!BG17)/Datos!BG17),(Tasas!E17-Datos!BG17)/Datos!BG17," - ")</f>
        <v>6.3945626728514102E-2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-0.2288135593220339</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-0.27312775330396477</v>
      </c>
      <c r="G18" s="394">
        <f>IF(ISNUMBER(
   IF(D_I="SI",(Datos!L18-Datos!V18)/Datos!V18,(Datos!L18+Datos!AF18-(Datos!V18+Datos!AN18))/(Datos!V18+Datos!AN18))
     ),IF(D_I="SI",(Datos!L18-Datos!V18)/Datos!V18,(Datos!L18+Datos!AF18-(Datos!V18+Datos!AN18))/(Datos!V18+Datos!AN18))," - ")</f>
        <v>0.82417582417582413</v>
      </c>
      <c r="H18" s="244">
        <f>IF(ISNUMBER((Datos!M18-Datos!W18)/Datos!W18),(Datos!M18-Datos!W18)/Datos!W18," - ")</f>
        <v>1</v>
      </c>
      <c r="I18" s="395">
        <f>IF(ISNUMBER((Tasas!C18-Datos!BE18)/Datos!BE18),(Tasas!C18-Datos!BE18)/Datos!BE18," - ")</f>
        <v>1.5096237096237097</v>
      </c>
      <c r="J18" s="394">
        <f>IF(ISNUMBER((Tasas!D18-Datos!BF18)/Datos!BF18),(Tasas!D18-Datos!BF18)/Datos!BF18," - ")</f>
        <v>1.7515151515151512</v>
      </c>
      <c r="K18" s="396">
        <f>IF(ISNUMBER((Tasas!E18-Datos!BG18)/Datos!BG18),(Tasas!E18-Datos!BG18)/Datos!BG18," - ")</f>
        <v>0.4319992376596149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-0.12065972222222222</v>
      </c>
      <c r="E23" s="399">
        <f>IF(ISNUMBER(
   IF(D_I="SI",(Datos!J23-Datos!T23)/Datos!T23,(Datos!J23+Datos!AD23-(Datos!T23+Datos!AL23))/(Datos!T23+Datos!AL23))
     ),IF(D_I="SI",(Datos!J23-Datos!T23)/Datos!T23,(Datos!J23+Datos!AD23-(Datos!T23+Datos!AL23))/(Datos!T23+Datos!AL23))," - ")</f>
        <v>9.7349918875067609E-3</v>
      </c>
      <c r="F23" s="399">
        <f>IF(ISNUMBER(
   IF(D_I="SI",(Datos!K23-Datos!U23)/Datos!U23,(Datos!K23+Datos!AE23-(Datos!U23+Datos!AM23))/(Datos!U23+Datos!AM23))
     ),IF(D_I="SI",(Datos!K23-Datos!U23)/Datos!U23,(Datos!K23+Datos!AE23-(Datos!U23+Datos!AM23))/(Datos!U23+Datos!AM23))," - ")</f>
        <v>-9.4997473471450225E-2</v>
      </c>
      <c r="G23" s="400">
        <f>IF(ISNUMBER(
   IF(D_I="SI",(Datos!L23-Datos!V23)/Datos!V23,(Datos!L23+Datos!AF23-(Datos!V23+Datos!AN23))/(Datos!V23+Datos!AN23))
     ),IF(D_I="SI",(Datos!L23-Datos!V23)/Datos!V23,(Datos!L23+Datos!AF23-(Datos!V23+Datos!AN23))/(Datos!V23+Datos!AN23))," - ")</f>
        <v>0.18262586377097728</v>
      </c>
      <c r="H23" s="401">
        <f>IF(ISNUMBER((Datos!M23-Datos!W23)/Datos!W23),(Datos!M23-Datos!W23)/Datos!W23," - ")</f>
        <v>0.11886304909560723</v>
      </c>
      <c r="I23" s="402">
        <f>IF(ISNUMBER((Tasas!C23-Datos!BE23)/Datos!BE23),(Tasas!C23-Datos!BE23)/Datos!BE23," - ")</f>
        <v>0.30676526208976235</v>
      </c>
      <c r="J23" s="400">
        <f>IF(ISNUMBER((Tasas!D23-Datos!BF23)/Datos!BF23),(Tasas!D23-Datos!BF23)/Datos!BF23," - ")</f>
        <v>0.23630930997219804</v>
      </c>
      <c r="K23" s="403">
        <f>IF(ISNUMBER((Tasas!E23-Datos!BG23)/Datos!BG23),(Tasas!E23-Datos!BG23)/Datos!BG23," - ")</f>
        <v>8.1502932762322455E-2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-0.10674810936591041</v>
      </c>
      <c r="E31" s="409">
        <f>IF(ISNUMBER(
   IF(J_V="SI",(Datos!J31-Datos!T31)/Datos!T31,(Datos!J31+Datos!Z31-(Datos!T31+Datos!AH31))/(Datos!T31+Datos!AH31))
     ),IF(J_V="SI",(Datos!J31-Datos!T31)/Datos!T31,(Datos!J31+Datos!Z31-(Datos!T31+Datos!AH31))/(Datos!T31+Datos!AH31))," - ")</f>
        <v>4.2493750918982505E-2</v>
      </c>
      <c r="F31" s="409">
        <f>IF(ISNUMBER(
   IF(J_V="SI",(Datos!K31-Datos!U31)/Datos!U31,(Datos!K31+Datos!AA31-(Datos!U31+Datos!AI31))/(Datos!U31+Datos!AI31))
     ),IF(J_V="SI",(Datos!K31-Datos!U31)/Datos!U31,(Datos!K31+Datos!AA31-(Datos!U31+Datos!AI31))/(Datos!U31+Datos!AI31))," - ")</f>
        <v>-7.8622746373864707E-3</v>
      </c>
      <c r="G31" s="410">
        <f>IF(ISNUMBER(
   IF(J_V="SI",(Datos!L31-Datos!V31)/Datos!V31,(Datos!L31+Datos!AB31-(Datos!V31+Datos!AJ31))/(Datos!V31+Datos!AJ31))
     ),IF(J_V="SI",(Datos!L31-Datos!V31)/Datos!V31,(Datos!L31+Datos!AB31-(Datos!V31+Datos!AJ31))/(Datos!V31+Datos!AJ31))," - ")</f>
        <v>-4.4610875936177144E-2</v>
      </c>
      <c r="H31" s="411">
        <f>IF(ISNUMBER((Datos!M31-Datos!W31)/Datos!W31),(Datos!M31-Datos!W31)/Datos!W31," - ")</f>
        <v>0.13916500994035785</v>
      </c>
      <c r="I31" s="408">
        <f>IF(ISNUMBER((Tasas!C31-Datos!BE31)/Datos!BE31),(Tasas!C31-Datos!BE31)/Datos!BE31," - ")</f>
        <v>-3.7039818524549656E-2</v>
      </c>
      <c r="J31" s="409">
        <f>IF(ISNUMBER((Tasas!D31-Datos!BF31)/Datos!BF31),(Tasas!D31-Datos!BF31)/Datos!BF31," - ")</f>
        <v>-0.49115349404392528</v>
      </c>
      <c r="K31" s="410">
        <f>IF(ISNUMBER((Tasas!E31-Datos!BG31)/Datos!BG31),(Tasas!E31-Datos!BG31)/Datos!BG31," - ")</f>
        <v>2.4627951596161172E-4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0.25599933361680494</v>
      </c>
      <c r="E33" s="303">
        <f t="shared" si="1"/>
        <v>0.13611538341874435</v>
      </c>
      <c r="F33" s="303">
        <f t="shared" si="1"/>
        <v>0.2886882530651228</v>
      </c>
      <c r="G33" s="304">
        <f t="shared" si="1"/>
        <v>0.37805017043892891</v>
      </c>
      <c r="H33" s="310">
        <f t="shared" si="1"/>
        <v>0.40337165790917817</v>
      </c>
      <c r="I33" s="302">
        <f t="shared" si="1"/>
        <v>0.6859178782687918</v>
      </c>
      <c r="J33" s="303">
        <f t="shared" si="1"/>
        <v>0.88068354474386634</v>
      </c>
      <c r="K33" s="304">
        <f t="shared" si="1"/>
        <v>0.22201910688215235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yP6lJvtP8ff1HtHhj+8BtkJ+xzsIH6X9SeiC00M1IrXFfBC4O/cm7MO2S5kWNH1vIztOJjeh70XuzI5SJSCWA==" saltValue="sAWlOGOD9CJfz5yqcSwTc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